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" yWindow="13" windowWidth="15239" windowHeight="6611" activeTab="0"/>
  </bookViews>
  <sheets>
    <sheet name="下达2020年度表" sheetId="1" r:id="rId1"/>
    <sheet name="下达2019年度表" sheetId="2" r:id="rId2"/>
    <sheet name="修改模板2019高职清算" sheetId="3" r:id="rId3"/>
    <sheet name="2021二上" sheetId="4" r:id="rId4"/>
    <sheet name="2020高职院预算" sheetId="5" r:id="rId5"/>
    <sheet name="2021与2020预算生均拨款对比 " sheetId="6" r:id="rId6"/>
    <sheet name="2020高职清算" sheetId="7" r:id="rId7"/>
    <sheet name="2019高职清算" sheetId="8" r:id="rId8"/>
    <sheet name="2018年高职清算" sheetId="9" r:id="rId9"/>
  </sheets>
  <definedNames/>
  <calcPr fullCalcOnLoad="1"/>
</workbook>
</file>

<file path=xl/comments9.xml><?xml version="1.0" encoding="utf-8"?>
<comments xmlns="http://schemas.openxmlformats.org/spreadsheetml/2006/main">
  <authors>
    <author>作者</author>
  </authors>
  <commentList>
    <comment ref="K19" authorId="0">
      <text>
        <r>
          <rPr>
            <b/>
            <sz val="10"/>
            <rFont val="宋体"/>
            <family val="0"/>
          </rPr>
          <t>作者:</t>
        </r>
        <r>
          <rPr>
            <sz val="10"/>
            <rFont val="宋体"/>
            <family val="0"/>
          </rPr>
          <t xml:space="preserve">
预算处清算数为-297.64万元</t>
        </r>
      </text>
    </comment>
  </commentList>
</comments>
</file>

<file path=xl/sharedStrings.xml><?xml version="1.0" encoding="utf-8"?>
<sst xmlns="http://schemas.openxmlformats.org/spreadsheetml/2006/main" count="375" uniqueCount="221">
  <si>
    <t>小计</t>
  </si>
  <si>
    <t>重庆市轻工业学校</t>
  </si>
  <si>
    <t>四川仪表工业学校</t>
  </si>
  <si>
    <t>重庆市工业学校</t>
  </si>
  <si>
    <t>重庆市商务高级技工学校</t>
  </si>
  <si>
    <t>重庆市机械高级技工学校</t>
  </si>
  <si>
    <t>重庆市工贸高级技工学校</t>
  </si>
  <si>
    <t>重庆市工业高级技工学校</t>
  </si>
  <si>
    <t>重庆市科能高级技工学校</t>
  </si>
  <si>
    <t>135004</t>
  </si>
  <si>
    <t>重庆青年职业技术学院</t>
  </si>
  <si>
    <t>1、根据《重庆市财政局关于公办高等职业院校生均财政拨款标准的通知》（渝财教[2012]122号）精神，高职生均拨款标准保障内容包括：工资福利支出；商品和服务支出，含办公费、水电气、差旅费、维修（护）费、材料费、培训费等；其他资本性支出，含设备购置、房屋建筑物购建、大型修缮、聘用人员经费等。即基本支出包括在职人员所有列报205科目的支出（不含基本医疗、大额医疗)、除离退休公用以外的其他商品服务支出、对个人家庭补助里列报205科目的支出，如抚恤金）</t>
  </si>
  <si>
    <t>附件2：</t>
  </si>
  <si>
    <t>重庆建筑高级技工学校</t>
  </si>
  <si>
    <t>备注</t>
  </si>
  <si>
    <t xml:space="preserve">重庆市矿业工程学校          
</t>
  </si>
  <si>
    <t>单位名称</t>
  </si>
  <si>
    <t>-</t>
  </si>
  <si>
    <t>重庆铁路运输高级技工学校</t>
  </si>
  <si>
    <t>序号</t>
  </si>
  <si>
    <t>合计</t>
  </si>
  <si>
    <t xml:space="preserve">编制单位：重庆市财政局产业发展处                                                                                                               单位：万元                                   </t>
  </si>
  <si>
    <t>年初预算单位上报学生人数（人）</t>
  </si>
  <si>
    <t>增减</t>
  </si>
  <si>
    <t>基本支出</t>
  </si>
  <si>
    <t>项目支出</t>
  </si>
  <si>
    <t>合     计</t>
  </si>
  <si>
    <t>教科文处小计</t>
  </si>
  <si>
    <t>重庆艺术职业技术院</t>
  </si>
  <si>
    <t>农业处小计</t>
  </si>
  <si>
    <t>307005</t>
  </si>
  <si>
    <t>重庆水利电力职业技术学院</t>
  </si>
  <si>
    <t>社保处小计</t>
  </si>
  <si>
    <t>330003</t>
  </si>
  <si>
    <t>重庆市医药高等专科学校</t>
  </si>
  <si>
    <t>行政政法处小计</t>
  </si>
  <si>
    <t>小计</t>
  </si>
  <si>
    <t>生均补助标准</t>
  </si>
  <si>
    <t>应下达单位    清算资金</t>
  </si>
  <si>
    <t xml:space="preserve">预算清算 下达指标   </t>
  </si>
  <si>
    <t>1</t>
  </si>
  <si>
    <t>重庆商务职业学院</t>
  </si>
  <si>
    <t>2</t>
  </si>
  <si>
    <t>重庆财经职业学院</t>
  </si>
  <si>
    <t>4</t>
  </si>
  <si>
    <t>重庆安全技术职业学院</t>
  </si>
  <si>
    <t>五年一贯制中职</t>
  </si>
  <si>
    <t>3</t>
  </si>
  <si>
    <t>重庆电力高等专科学校</t>
  </si>
  <si>
    <t>2018年度市级部门公办高等职业技术学校生均公用经费清算明细表</t>
  </si>
  <si>
    <r>
      <t>201</t>
    </r>
    <r>
      <rPr>
        <b/>
        <sz val="10"/>
        <rFont val="宋体"/>
        <family val="0"/>
      </rPr>
      <t>8</t>
    </r>
    <r>
      <rPr>
        <b/>
        <sz val="10"/>
        <rFont val="宋体"/>
        <family val="0"/>
      </rPr>
      <t>年在校学生数（人）</t>
    </r>
  </si>
  <si>
    <r>
      <t>201</t>
    </r>
    <r>
      <rPr>
        <b/>
        <sz val="10"/>
        <rFont val="宋体"/>
        <family val="0"/>
      </rPr>
      <t>8</t>
    </r>
    <r>
      <rPr>
        <b/>
        <sz val="10"/>
        <rFont val="宋体"/>
        <family val="0"/>
      </rPr>
      <t>年应安排数</t>
    </r>
  </si>
  <si>
    <r>
      <t>201</t>
    </r>
    <r>
      <rPr>
        <b/>
        <sz val="10"/>
        <rFont val="宋体"/>
        <family val="0"/>
      </rPr>
      <t>8</t>
    </r>
    <r>
      <rPr>
        <b/>
        <sz val="10"/>
        <rFont val="宋体"/>
        <family val="0"/>
      </rPr>
      <t>年初预算下达</t>
    </r>
  </si>
  <si>
    <t>2、2018年初预算按部门预算系统数据填列，本次根据2018年末秋季学期学籍系统登记学生人数对生均经费进行清算。</t>
  </si>
  <si>
    <t>按在职人员财政统发工资和津贴总额813.78万元及中职学生占学生总数14.42%计算五年一贯制人员经费813.78万元*14.42%=117.35万元</t>
  </si>
  <si>
    <t>项目支出中含处室安排100万元</t>
  </si>
  <si>
    <t>项目支出中含处室安排100万元</t>
  </si>
  <si>
    <t>项目支出中含处室安排150万元</t>
  </si>
  <si>
    <r>
      <t>-</t>
    </r>
    <r>
      <rPr>
        <sz val="10"/>
        <color indexed="8"/>
        <rFont val="宋体"/>
        <family val="0"/>
      </rPr>
      <t>78.36</t>
    </r>
  </si>
  <si>
    <t>项目支出中含处室安排350万元，中央地方共建学校,生均补助各承担一半为4700元/人.年。</t>
  </si>
  <si>
    <r>
      <t>201</t>
    </r>
    <r>
      <rPr>
        <b/>
        <sz val="10"/>
        <rFont val="宋体"/>
        <family val="0"/>
      </rPr>
      <t>9</t>
    </r>
    <r>
      <rPr>
        <b/>
        <sz val="10"/>
        <rFont val="宋体"/>
        <family val="0"/>
      </rPr>
      <t>年初预算下达</t>
    </r>
  </si>
  <si>
    <t>2019年部门预
算学生人数</t>
  </si>
  <si>
    <r>
      <t>项目支出中含处室安排1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0万元</t>
    </r>
  </si>
  <si>
    <r>
      <t>项目支出中含处室安排1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0万元</t>
    </r>
  </si>
  <si>
    <r>
      <t>项目支出中含处室安排3</t>
    </r>
    <r>
      <rPr>
        <sz val="10"/>
        <color indexed="8"/>
        <rFont val="宋体"/>
        <family val="0"/>
      </rPr>
      <t>0</t>
    </r>
    <r>
      <rPr>
        <sz val="10"/>
        <color indexed="8"/>
        <rFont val="宋体"/>
        <family val="0"/>
      </rPr>
      <t>0万元，中央地方共建学校,生均补助各承担一半为4700元/人.年。</t>
    </r>
  </si>
  <si>
    <r>
      <t>项目支出中含处室安排1</t>
    </r>
    <r>
      <rPr>
        <sz val="10"/>
        <color indexed="8"/>
        <rFont val="宋体"/>
        <family val="0"/>
      </rPr>
      <t>0</t>
    </r>
    <r>
      <rPr>
        <sz val="10"/>
        <color indexed="8"/>
        <rFont val="宋体"/>
        <family val="0"/>
      </rPr>
      <t>0万元</t>
    </r>
  </si>
  <si>
    <t>1、根据《重庆市财政局关于公办高等职业院校生均财政拨款标准的通知》（渝财教[2012]122号）精神，高职生均拨款标准保障内容包括：工资福利支出；商品和服务支出，含办公费、水电气、差旅费、维修（护）费、材料费、培训费等；其他资本性支出，含设备购置、房屋建筑物购建、大型修缮、聘用人员经费等，即基本支出包括在职人员所有列报205“教育支出”科目的支出（不含基本医疗、大额医疗)、除离退休公用以外的其他商品服务支出、对个人家庭补助里列报205“教育支出”科目的支出，如抚恤金）</t>
  </si>
  <si>
    <r>
      <t>2、201</t>
    </r>
    <r>
      <rPr>
        <sz val="10"/>
        <rFont val="宋体"/>
        <family val="0"/>
      </rPr>
      <t>9</t>
    </r>
    <r>
      <rPr>
        <sz val="10"/>
        <rFont val="宋体"/>
        <family val="0"/>
      </rPr>
      <t>年初预算按部门预算系统数据填列，本次根据201</t>
    </r>
    <r>
      <rPr>
        <sz val="10"/>
        <rFont val="宋体"/>
        <family val="0"/>
      </rPr>
      <t>9</t>
    </r>
    <r>
      <rPr>
        <sz val="10"/>
        <rFont val="宋体"/>
        <family val="0"/>
      </rPr>
      <t>年末秋季学期学籍系统登记学生人数对生均经费进行清算。</t>
    </r>
  </si>
  <si>
    <t>2019年度市级部门公办高等职业技术学校生均公用经费清算明细表</t>
  </si>
  <si>
    <t xml:space="preserve">编制单位：重庆市财政局产业发展处                                                                                                 单位：人、万元                                   </t>
  </si>
  <si>
    <t>生均补
助标准
（元）</t>
  </si>
  <si>
    <t>4=2*3</t>
  </si>
  <si>
    <t>5=6+7</t>
  </si>
  <si>
    <t>9=4-5+8</t>
  </si>
  <si>
    <t>应下达
清算资金</t>
  </si>
  <si>
    <r>
      <t>项目支出中含处室安排1</t>
    </r>
    <r>
      <rPr>
        <sz val="10"/>
        <color indexed="8"/>
        <rFont val="宋体"/>
        <family val="0"/>
      </rPr>
      <t>0</t>
    </r>
    <r>
      <rPr>
        <sz val="10"/>
        <color indexed="8"/>
        <rFont val="宋体"/>
        <family val="0"/>
      </rPr>
      <t>0万元；</t>
    </r>
    <r>
      <rPr>
        <sz val="10"/>
        <color indexed="8"/>
        <rFont val="宋体"/>
        <family val="0"/>
      </rPr>
      <t>2019年初预算高职3679人，中职606人</t>
    </r>
  </si>
  <si>
    <r>
      <t>按2019年初预算在职人员财政统发工资和津贴总额801.37</t>
    </r>
    <r>
      <rPr>
        <sz val="10"/>
        <color indexed="8"/>
        <rFont val="宋体"/>
        <family val="0"/>
      </rPr>
      <t>万元及中职学生占学生总数</t>
    </r>
    <r>
      <rPr>
        <sz val="10"/>
        <color indexed="8"/>
        <rFont val="宋体"/>
        <family val="0"/>
      </rPr>
      <t xml:space="preserve">   </t>
    </r>
    <r>
      <rPr>
        <sz val="10"/>
        <color indexed="8"/>
        <rFont val="宋体"/>
        <family val="0"/>
      </rPr>
      <t>%计算五年一贯制人员经费</t>
    </r>
    <r>
      <rPr>
        <sz val="10"/>
        <color indexed="8"/>
        <rFont val="宋体"/>
        <family val="0"/>
      </rPr>
      <t>801.37</t>
    </r>
    <r>
      <rPr>
        <sz val="10"/>
        <color indexed="8"/>
        <rFont val="宋体"/>
        <family val="0"/>
      </rPr>
      <t>万元*</t>
    </r>
    <r>
      <rPr>
        <sz val="10"/>
        <color indexed="8"/>
        <rFont val="宋体"/>
        <family val="0"/>
      </rPr>
      <t xml:space="preserve">  </t>
    </r>
    <r>
      <rPr>
        <sz val="10"/>
        <color indexed="8"/>
        <rFont val="宋体"/>
        <family val="0"/>
      </rPr>
      <t>%=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万元（第</t>
    </r>
    <r>
      <rPr>
        <sz val="10"/>
        <color indexed="8"/>
        <rFont val="宋体"/>
        <family val="0"/>
      </rPr>
      <t>4列数据）</t>
    </r>
  </si>
  <si>
    <r>
      <t>2020年初预算一上</t>
    </r>
    <r>
      <rPr>
        <b/>
        <sz val="10"/>
        <rFont val="宋体"/>
        <family val="0"/>
      </rPr>
      <t>11月1日</t>
    </r>
  </si>
  <si>
    <r>
      <t>2019</t>
    </r>
    <r>
      <rPr>
        <b/>
        <sz val="10"/>
        <rFont val="宋体"/>
        <family val="0"/>
      </rPr>
      <t>年
应安排数</t>
    </r>
  </si>
  <si>
    <r>
      <t>2019</t>
    </r>
    <r>
      <rPr>
        <b/>
        <sz val="10"/>
        <rFont val="宋体"/>
        <family val="0"/>
      </rPr>
      <t>年在
校学生数</t>
    </r>
  </si>
  <si>
    <t>学生人数（人）</t>
  </si>
  <si>
    <r>
      <t>（5</t>
    </r>
    <r>
      <rPr>
        <sz val="10"/>
        <rFont val="宋体"/>
        <family val="0"/>
      </rPr>
      <t>-8）/3</t>
    </r>
  </si>
  <si>
    <r>
      <t>2</t>
    </r>
    <r>
      <rPr>
        <b/>
        <sz val="10"/>
        <rFont val="宋体"/>
        <family val="0"/>
      </rPr>
      <t>019</t>
    </r>
    <r>
      <rPr>
        <b/>
        <sz val="10"/>
        <rFont val="宋体"/>
        <family val="0"/>
      </rPr>
      <t>项目支出中产业处安排</t>
    </r>
  </si>
  <si>
    <r>
      <t>20</t>
    </r>
    <r>
      <rPr>
        <b/>
        <sz val="10"/>
        <rFont val="宋体"/>
        <family val="0"/>
      </rPr>
      <t>20</t>
    </r>
    <r>
      <rPr>
        <b/>
        <sz val="10"/>
        <rFont val="宋体"/>
        <family val="0"/>
      </rPr>
      <t>年部门预
算学生人数</t>
    </r>
  </si>
  <si>
    <t>2020年末在
校学生数</t>
  </si>
  <si>
    <t>2020年末清算</t>
  </si>
  <si>
    <r>
      <t>4</t>
    </r>
    <r>
      <rPr>
        <sz val="10"/>
        <rFont val="宋体"/>
        <family val="0"/>
      </rPr>
      <t>=3-2</t>
    </r>
  </si>
  <si>
    <t xml:space="preserve">   中职教师工资</t>
  </si>
  <si>
    <r>
      <t>6</t>
    </r>
    <r>
      <rPr>
        <sz val="10"/>
        <rFont val="宋体"/>
        <family val="0"/>
      </rPr>
      <t>=4*5</t>
    </r>
  </si>
  <si>
    <t>重庆安全技术职业学院小计</t>
  </si>
  <si>
    <t xml:space="preserve">   高职</t>
  </si>
  <si>
    <t xml:space="preserve">   中职</t>
  </si>
  <si>
    <t xml:space="preserve">编制单位：产业发展处                                                                                                                                  </t>
  </si>
  <si>
    <t>单位：人、万元</t>
  </si>
  <si>
    <t>2019年部门预
算学生人数</t>
  </si>
  <si>
    <t>增减</t>
  </si>
  <si>
    <t>2019年末在
校学生数</t>
  </si>
  <si>
    <t>生均补助标准
（元）</t>
  </si>
  <si>
    <t>商务职院</t>
  </si>
  <si>
    <t>财经职院</t>
  </si>
  <si>
    <t>安全职院</t>
  </si>
  <si>
    <t xml:space="preserve">   中职教师工资</t>
  </si>
  <si>
    <t>中职教师工资</t>
  </si>
  <si>
    <t>学生人数（高职）</t>
  </si>
  <si>
    <t>学生人数（中职）</t>
  </si>
  <si>
    <t>基本医保</t>
  </si>
  <si>
    <t>大额医疗互助金</t>
  </si>
  <si>
    <t>养老保险</t>
  </si>
  <si>
    <t>职业年金</t>
  </si>
  <si>
    <t>退休公用支出（定额）</t>
  </si>
  <si>
    <t>住房公积金</t>
  </si>
  <si>
    <t>有专项用途的非税收入</t>
  </si>
  <si>
    <t>教育收费收入</t>
  </si>
  <si>
    <t>其他收入</t>
  </si>
  <si>
    <t>产业处安排的一般专项</t>
  </si>
  <si>
    <t>小计</t>
  </si>
  <si>
    <t>离休费</t>
  </si>
  <si>
    <t>离休生活性补贴</t>
  </si>
  <si>
    <t>离休其他补贴</t>
  </si>
  <si>
    <t>离休健康休养费</t>
  </si>
  <si>
    <t>离休公用支出及特需经费(定额)</t>
  </si>
  <si>
    <t>本级横向财政拨款和非本级财政拨款收入</t>
  </si>
  <si>
    <t>生均拨款预算（高职）</t>
  </si>
  <si>
    <t>生均拨款标准（高职）</t>
  </si>
  <si>
    <t>生均拨款标准（中职）</t>
  </si>
  <si>
    <t>生均拨款预算（中职）</t>
  </si>
  <si>
    <t>2020年部门预算（二下）</t>
  </si>
  <si>
    <t>安职院教师基本工资</t>
  </si>
  <si>
    <t>安职院教师其他津补贴</t>
  </si>
  <si>
    <t>折算安职院中职教师工资</t>
  </si>
  <si>
    <r>
      <t>2020年初预算在职人员财政统发工资和津贴总额*</t>
    </r>
    <r>
      <rPr>
        <sz val="10"/>
        <color indexed="8"/>
        <rFont val="宋体"/>
        <family val="0"/>
      </rPr>
      <t>中职学生占学生总数</t>
    </r>
    <r>
      <rPr>
        <sz val="10"/>
        <color indexed="8"/>
        <rFont val="宋体"/>
        <family val="0"/>
      </rPr>
      <t>的比重</t>
    </r>
    <r>
      <rPr>
        <sz val="10"/>
        <color indexed="8"/>
        <rFont val="宋体"/>
        <family val="0"/>
      </rPr>
      <t>=中职老师工资</t>
    </r>
  </si>
  <si>
    <t>注：2019年部门预算中学生基本情况表中9500人有误，支出项目录入表中实际按9600人计算生均拨款</t>
  </si>
  <si>
    <t>2019年末在校学生10640人，剔除弹性学制学生181人。</t>
  </si>
  <si>
    <t>2019年末在校学生11242人，剔除弹性学制学生17人。</t>
  </si>
  <si>
    <t>2019年末在校学生4717人，剔除弹性学制学生25人。</t>
  </si>
  <si>
    <t>2019年末在校学生7312人，剔除弹性学制学生3505人。</t>
  </si>
  <si>
    <r>
      <t>按2019年初预算在职人员财政统发工资和津补贴总额801.37万元及中职学生占学生总数的比重</t>
    </r>
    <r>
      <rPr>
        <sz val="10"/>
        <color indexed="8"/>
        <rFont val="宋体"/>
        <family val="0"/>
      </rPr>
      <t>计算五年一贯制中职老师工资和津补贴</t>
    </r>
  </si>
  <si>
    <t>2019年初预算</t>
  </si>
  <si>
    <t>2019年清算</t>
  </si>
  <si>
    <t>2、2019年初预算按部门预算数据填列，本次根据2019年末秋季学期学籍系统登记学生人数，剔除弹性学制学生人数后，对生均经费进行清算。</t>
  </si>
  <si>
    <t>重庆商务职业学院</t>
  </si>
  <si>
    <t>重庆财经职业学院</t>
  </si>
  <si>
    <t>重庆安全技术职业学院小计</t>
  </si>
  <si>
    <t>1、根据《重庆市财政局关于公办高等职业院校生均财政拨款标准的通知》（渝财教[2012]122号）精神，高职生均拨款标准保障内容包括：工资福利支出；商品和服务支出，含办公费、水电气、差旅费、维修（护）费、材料费、培训费等；其他资本性支出，含设备购置、房屋建筑物购建、大型修缮、聘用人员经费等，即基本支出包括在职人员所有列报205“教育支出”科目的支出（不含基本医疗、大额医疗)、除离退休公用以外的其他商品服务支出、对个人家庭补助列报205“教育支出”科目的支出，如抚恤金。</t>
  </si>
  <si>
    <t>2019年度市级部门公办高等职业技术学院（校）生均经费清算明细表</t>
  </si>
  <si>
    <t xml:space="preserve">   高职</t>
  </si>
  <si>
    <t>金额</t>
  </si>
  <si>
    <t>单位：万元</t>
  </si>
  <si>
    <t>重庆安全技术职业学院</t>
  </si>
  <si>
    <t>单 位 名 称</t>
  </si>
  <si>
    <t>合 计</t>
  </si>
  <si>
    <t>功能科目</t>
  </si>
  <si>
    <t>经济科目</t>
  </si>
  <si>
    <t>2050305高等职业教育</t>
  </si>
  <si>
    <r>
      <t>301工资福利支出400万元
3</t>
    </r>
    <r>
      <rPr>
        <sz val="12"/>
        <rFont val="方正仿宋_GBK"/>
        <family val="4"/>
      </rPr>
      <t>02商品和服务支出289.62万元</t>
    </r>
  </si>
  <si>
    <r>
      <t>3</t>
    </r>
    <r>
      <rPr>
        <sz val="12"/>
        <rFont val="方正仿宋_GBK"/>
        <family val="4"/>
      </rPr>
      <t>02商品和服务支出</t>
    </r>
  </si>
  <si>
    <r>
      <t>301工资福利支出285万元
3</t>
    </r>
    <r>
      <rPr>
        <sz val="12"/>
        <rFont val="方正仿宋_GBK"/>
        <family val="4"/>
      </rPr>
      <t>02商品和服务支出397.5万元310资本性支出650万元</t>
    </r>
  </si>
  <si>
    <t>局领导：</t>
  </si>
  <si>
    <t>处领导：</t>
  </si>
  <si>
    <t>经办人：</t>
  </si>
  <si>
    <t>2019年度高等职业院校生均经费清算资金表</t>
  </si>
  <si>
    <r>
      <t>202</t>
    </r>
    <r>
      <rPr>
        <sz val="12"/>
        <rFont val="宋体"/>
        <family val="0"/>
      </rPr>
      <t>1</t>
    </r>
    <r>
      <rPr>
        <sz val="12"/>
        <rFont val="宋体"/>
        <family val="0"/>
      </rPr>
      <t>年部门预算（一上）</t>
    </r>
  </si>
  <si>
    <t>学生人数（全日制高职）</t>
  </si>
  <si>
    <t>学生人数（弹性学制高职）</t>
  </si>
  <si>
    <t>折算安职院中职教师工资</t>
  </si>
  <si>
    <t>生均拨款小计</t>
  </si>
  <si>
    <t>合计</t>
  </si>
  <si>
    <t>其中：基本支出</t>
  </si>
  <si>
    <t xml:space="preserve">      项目支出</t>
  </si>
  <si>
    <t>一上基本支出小计</t>
  </si>
  <si>
    <t>教育收费收入(基本支出）</t>
  </si>
  <si>
    <t>教育收费收入(项目支出）</t>
  </si>
  <si>
    <t>弹性学制高职</t>
  </si>
  <si>
    <t>弹性学制高职生均拨款</t>
  </si>
  <si>
    <t>合计</t>
  </si>
  <si>
    <t>2019年部门预
算生均拨款（万元）</t>
  </si>
  <si>
    <t>一上项目支出小计</t>
  </si>
  <si>
    <t>一上（二上无改变）</t>
  </si>
  <si>
    <t>一上</t>
  </si>
  <si>
    <t>二上</t>
  </si>
  <si>
    <t>高职</t>
  </si>
  <si>
    <r>
      <t>202</t>
    </r>
    <r>
      <rPr>
        <b/>
        <sz val="10"/>
        <rFont val="宋体"/>
        <family val="0"/>
      </rPr>
      <t>1</t>
    </r>
    <r>
      <rPr>
        <b/>
        <sz val="10"/>
        <rFont val="宋体"/>
        <family val="0"/>
      </rPr>
      <t>年部门预算
学生人数</t>
    </r>
  </si>
  <si>
    <t>生均拨款增减</t>
  </si>
  <si>
    <t>生均拨款标准
（元）</t>
  </si>
  <si>
    <t>学生人数（全日制高职）</t>
  </si>
  <si>
    <t>学生人数（弹性学制高职）</t>
  </si>
  <si>
    <t>学生人数（弹性学制高职）</t>
  </si>
  <si>
    <t>中职</t>
  </si>
  <si>
    <t>技校学生</t>
  </si>
  <si>
    <t>公办技师第4及以上学年学生</t>
  </si>
  <si>
    <t>2021、2020年度市级部门公办高等职业技术学院年初预算生均拨款明细表</t>
  </si>
  <si>
    <t>基本支出小计</t>
  </si>
  <si>
    <t>项目支出小计</t>
  </si>
  <si>
    <t>其中：基本支出</t>
  </si>
  <si>
    <t xml:space="preserve">      项目支出 </t>
  </si>
  <si>
    <t>小计</t>
  </si>
  <si>
    <t>小计</t>
  </si>
  <si>
    <t>增减</t>
  </si>
  <si>
    <t>财经职院</t>
  </si>
  <si>
    <r>
      <t>2</t>
    </r>
    <r>
      <rPr>
        <sz val="12"/>
        <rFont val="宋体"/>
        <family val="0"/>
      </rPr>
      <t>019年预算二下</t>
    </r>
  </si>
  <si>
    <t>2019年财经职院生均拨款用于基本支出中包含生活补助对象补助费2.64万元。</t>
  </si>
  <si>
    <t>二上(修改）</t>
  </si>
  <si>
    <t>3、对2019-2020学年弹性学制学生的生均拨款，教科文处已会同市教委联合行文渝财教[2020]152号下达预算。</t>
  </si>
  <si>
    <t>其中：弹性学制学生人数</t>
  </si>
  <si>
    <t>2019年高职扩招弹性学制学生
截至2021年5月底退学学生人数</t>
  </si>
  <si>
    <r>
      <t>2020</t>
    </r>
    <r>
      <rPr>
        <b/>
        <sz val="10"/>
        <rFont val="宋体"/>
        <family val="0"/>
      </rPr>
      <t>年初预
算学生人数</t>
    </r>
  </si>
  <si>
    <t>2020年初预算</t>
  </si>
  <si>
    <r>
      <t>1、根据《重庆市财政局关于公办高等职业院校生均财政拨款标准的通知》（渝财教〔</t>
    </r>
    <r>
      <rPr>
        <sz val="10"/>
        <rFont val="宋体"/>
        <family val="0"/>
      </rPr>
      <t>2012</t>
    </r>
    <r>
      <rPr>
        <sz val="10"/>
        <rFont val="宋体"/>
        <family val="0"/>
      </rPr>
      <t>〕122号）精神，高职生均拨款标准保障内容包括：工资福利支出；商品和服务支出，含办公费、水电气、差旅费、维修（护）费、材料费、培训费等；其他资本性支出，含设备购置、房屋建筑物购建、大型修缮、聘用人员经费等，即基本支出包括在职人员所有列报205“教育支出”科目的支出（不含基本医疗、大额医疗)、除离退休公用以外的其他商品服务支出、对个人家庭补助里列报205“教育支出”科目的支出，如抚恤金）</t>
    </r>
  </si>
  <si>
    <t xml:space="preserve">生均补助标准
</t>
  </si>
  <si>
    <r>
      <t>2020年初预算在职人员财政统发工资和津贴总额*</t>
    </r>
    <r>
      <rPr>
        <sz val="10"/>
        <color indexed="8"/>
        <rFont val="宋体"/>
        <family val="0"/>
      </rPr>
      <t>中职学生占学生总数</t>
    </r>
    <r>
      <rPr>
        <sz val="10"/>
        <color indexed="8"/>
        <rFont val="宋体"/>
        <family val="0"/>
      </rPr>
      <t>的比重</t>
    </r>
    <r>
      <rPr>
        <sz val="10"/>
        <color indexed="8"/>
        <rFont val="宋体"/>
        <family val="0"/>
      </rPr>
      <t>=中职教师工资</t>
    </r>
  </si>
  <si>
    <t>2、2020年初预算按部门预算系统数据填列，本次根据市教委提供的2020年末秋季学期学籍系统登记学生人数对生均拨款进行清算。</t>
  </si>
  <si>
    <r>
      <t xml:space="preserve">合 </t>
    </r>
    <r>
      <rPr>
        <b/>
        <sz val="10"/>
        <rFont val="宋体"/>
        <family val="0"/>
      </rPr>
      <t xml:space="preserve">   </t>
    </r>
    <r>
      <rPr>
        <b/>
        <sz val="10"/>
        <rFont val="宋体"/>
        <family val="0"/>
      </rPr>
      <t>计</t>
    </r>
  </si>
  <si>
    <r>
      <t>8=</t>
    </r>
    <r>
      <rPr>
        <sz val="10"/>
        <rFont val="等线"/>
        <family val="0"/>
      </rPr>
      <t>［</t>
    </r>
    <r>
      <rPr>
        <sz val="10"/>
        <rFont val="宋体"/>
        <family val="0"/>
      </rPr>
      <t>3-(4-6)-5</t>
    </r>
    <r>
      <rPr>
        <sz val="10"/>
        <rFont val="等线"/>
        <family val="0"/>
      </rPr>
      <t>］</t>
    </r>
    <r>
      <rPr>
        <sz val="10"/>
        <rFont val="宋体"/>
        <family val="0"/>
      </rPr>
      <t>*7+（4-6）*7*50%</t>
    </r>
    <r>
      <rPr>
        <sz val="10"/>
        <rFont val="宋体"/>
        <family val="0"/>
      </rPr>
      <t>-2*7</t>
    </r>
  </si>
  <si>
    <t>2019年高职扩招弹性学制学生</t>
  </si>
  <si>
    <t>2020年高职扩招弹性学制学生（渝财教〔2021〕31号已下达预算）</t>
  </si>
  <si>
    <t>2020年度市级部门公办高等职业技术学院生均经费清算明细表</t>
  </si>
  <si>
    <t>3、对2021年高职扩招弹性学制学生的生均拨款，本局教科文处已会同市教委以渝财教〔2021〕31号下达预算。</t>
  </si>
  <si>
    <t>2020年度高等职业院校生均经费清算资金表</t>
  </si>
  <si>
    <t>30107绩效工资</t>
  </si>
  <si>
    <r>
      <t>30107绩效工资534.22万元
3</t>
    </r>
    <r>
      <rPr>
        <sz val="12"/>
        <rFont val="仿宋"/>
        <family val="3"/>
      </rPr>
      <t>0299其他商品和服务支出350万元
31001房屋建筑物构建650万元</t>
    </r>
  </si>
  <si>
    <r>
      <t>3</t>
    </r>
    <r>
      <rPr>
        <sz val="12"/>
        <rFont val="仿宋"/>
        <family val="3"/>
      </rPr>
      <t>0227委托业务费</t>
    </r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</si>
</sst>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"/>
    <numFmt numFmtId="185" formatCode="0.00_);[Red]\(0.00\)"/>
    <numFmt numFmtId="186" formatCode="0.00_ "/>
    <numFmt numFmtId="187" formatCode="* #,##0.00;* \-#,##0.00;* &quot;&quot;??;@"/>
    <numFmt numFmtId="188" formatCode="0_ "/>
    <numFmt numFmtId="189" formatCode="0_);[Red]\(0\)"/>
    <numFmt numFmtId="190" formatCode="#,##0_);[Red]\(#,##0\)"/>
    <numFmt numFmtId="191" formatCode="#,##0_ "/>
    <numFmt numFmtId="192" formatCode="#,##0.0_ "/>
    <numFmt numFmtId="193" formatCode="0.0_ "/>
    <numFmt numFmtId="194" formatCode="0.000_ "/>
    <numFmt numFmtId="195" formatCode="0.0000_ "/>
    <numFmt numFmtId="196" formatCode="0.00000_ "/>
    <numFmt numFmtId="197" formatCode="&quot;¥&quot;* _-#,##0;&quot;¥&quot;* \-#,##0;&quot;¥&quot;* _-&quot;-&quot;;@"/>
    <numFmt numFmtId="198" formatCode="* #,##0;* \-#,##0;* &quot;-&quot;;@"/>
    <numFmt numFmtId="199" formatCode="&quot;¥&quot;* _-#,##0.00;&quot;¥&quot;* \-#,##0.00;&quot;¥&quot;* _-&quot;-&quot;??;@"/>
    <numFmt numFmtId="200" formatCode="* #,##0.00;* \-#,##0.00;* &quot;-&quot;??;@"/>
    <numFmt numFmtId="201" formatCode="0000"/>
    <numFmt numFmtId="202" formatCode="#,##0.0000"/>
    <numFmt numFmtId="203" formatCode="* #,##0.0;* \-#,##0.0;* &quot;&quot;??;@"/>
    <numFmt numFmtId="204" formatCode="0.0_);[Red]\(0.0\)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0;[Red]0"/>
    <numFmt numFmtId="210" formatCode="&quot;$&quot;#,##0_);\(&quot;$&quot;#,##0\)"/>
    <numFmt numFmtId="211" formatCode="&quot;$&quot;#,##0_);[Red]\(&quot;$&quot;#,##0\)"/>
    <numFmt numFmtId="212" formatCode="&quot;$&quot;#,##0.00_);\(&quot;$&quot;#,##0.00\)"/>
    <numFmt numFmtId="213" formatCode="&quot;$&quot;#,##0.00_);[Red]\(&quot;$&quot;#,##0.00\)"/>
    <numFmt numFmtId="214" formatCode="_(&quot;$&quot;* #,##0_);_(&quot;$&quot;* \(#,##0\);_(&quot;$&quot;* &quot;-&quot;_);_(@_)"/>
    <numFmt numFmtId="215" formatCode="_(* #,##0_);_(* \(#,##0\);_(* &quot;-&quot;_);_(@_)"/>
    <numFmt numFmtId="216" formatCode="_(&quot;$&quot;* #,##0.00_);_(&quot;$&quot;* \(#,##0.00\);_(&quot;$&quot;* &quot;-&quot;??_);_(@_)"/>
    <numFmt numFmtId="217" formatCode="_(* #,##0.00_);_(* \(#,##0.00\);_(* &quot;-&quot;??_);_(@_)"/>
    <numFmt numFmtId="218" formatCode="#,##0.0_);[Red]\(#,##0.0\)"/>
    <numFmt numFmtId="219" formatCode="0.0%"/>
    <numFmt numFmtId="220" formatCode="#,##0_ ;[Red]\-#,##0\ "/>
    <numFmt numFmtId="221" formatCode="#,##0.00_);[Red]\(#,##0.00\)"/>
    <numFmt numFmtId="222" formatCode="#,##0.00_ "/>
    <numFmt numFmtId="223" formatCode="0_ ;[Red]\-0\ "/>
    <numFmt numFmtId="224" formatCode="0.0_ ;[Red]\-0.0\ "/>
    <numFmt numFmtId="225" formatCode="0.00_ ;[Red]\-0.00\ "/>
    <numFmt numFmtId="226" formatCode="yyyy&quot;年&quot;m&quot;月&quot;d&quot;日&quot;;@"/>
    <numFmt numFmtId="227" formatCode="0.0000000"/>
    <numFmt numFmtId="228" formatCode="0.000000"/>
    <numFmt numFmtId="229" formatCode="0.00000"/>
    <numFmt numFmtId="230" formatCode="0.0000"/>
    <numFmt numFmtId="231" formatCode="0.000"/>
    <numFmt numFmtId="232" formatCode="0.0"/>
  </numFmts>
  <fonts count="65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36"/>
      <name val="Arial"/>
      <family val="2"/>
    </font>
    <font>
      <sz val="9"/>
      <name val="宋体"/>
      <family val="0"/>
    </font>
    <font>
      <sz val="10"/>
      <name val="Arial"/>
      <family val="2"/>
    </font>
    <font>
      <b/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6"/>
      <name val="方正小标宋简体"/>
      <family val="0"/>
    </font>
    <font>
      <sz val="10"/>
      <color indexed="8"/>
      <name val="宋体"/>
      <family val="0"/>
    </font>
    <font>
      <b/>
      <sz val="10"/>
      <name val="华文中宋"/>
      <family val="0"/>
    </font>
    <font>
      <b/>
      <sz val="10"/>
      <color indexed="12"/>
      <name val="华文中宋"/>
      <family val="0"/>
    </font>
    <font>
      <sz val="10"/>
      <color indexed="12"/>
      <name val="华文中宋"/>
      <family val="0"/>
    </font>
    <font>
      <sz val="10"/>
      <name val="华文中宋"/>
      <family val="0"/>
    </font>
    <font>
      <sz val="10"/>
      <color indexed="8"/>
      <name val="华文中宋"/>
      <family val="0"/>
    </font>
    <font>
      <b/>
      <sz val="10"/>
      <color indexed="12"/>
      <name val="宋体"/>
      <family val="0"/>
    </font>
    <font>
      <sz val="10"/>
      <name val="方正小标宋_GBK"/>
      <family val="4"/>
    </font>
    <font>
      <b/>
      <sz val="10"/>
      <color indexed="12"/>
      <name val="仿宋_GB2312"/>
      <family val="3"/>
    </font>
    <font>
      <sz val="12"/>
      <name val="仿宋_GB2312"/>
      <family val="3"/>
    </font>
    <font>
      <b/>
      <sz val="12"/>
      <name val="仿宋_GB2312"/>
      <family val="3"/>
    </font>
    <font>
      <b/>
      <sz val="16"/>
      <name val="仿宋_GB2312"/>
      <family val="3"/>
    </font>
    <font>
      <sz val="12"/>
      <name val="方正仿宋_GBK"/>
      <family val="4"/>
    </font>
    <font>
      <sz val="16"/>
      <name val="宋体"/>
      <family val="0"/>
    </font>
    <font>
      <sz val="14"/>
      <name val="宋体"/>
      <family val="0"/>
    </font>
    <font>
      <sz val="10"/>
      <name val="等线"/>
      <family val="0"/>
    </font>
    <font>
      <sz val="12"/>
      <name val="仿宋"/>
      <family val="3"/>
    </font>
    <font>
      <b/>
      <sz val="12"/>
      <name val="仿宋"/>
      <family val="3"/>
    </font>
    <font>
      <b/>
      <sz val="10"/>
      <color indexed="12"/>
      <name val="仿宋"/>
      <family val="3"/>
    </font>
    <font>
      <sz val="12"/>
      <color indexed="8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sz val="12"/>
      <color indexed="8"/>
      <name val="仿宋_GB2312"/>
      <family val="3"/>
    </font>
    <font>
      <sz val="12"/>
      <color indexed="8"/>
      <name val="方正仿宋_GBK"/>
      <family val="4"/>
    </font>
    <font>
      <b/>
      <sz val="12"/>
      <color indexed="10"/>
      <name val="宋体"/>
      <family val="0"/>
    </font>
    <font>
      <b/>
      <sz val="14"/>
      <color indexed="10"/>
      <name val="宋体"/>
      <family val="0"/>
    </font>
    <font>
      <sz val="12"/>
      <color indexed="8"/>
      <name val="仿宋"/>
      <family val="3"/>
    </font>
    <font>
      <sz val="18"/>
      <name val="方正小标宋_GBK"/>
      <family val="4"/>
    </font>
    <font>
      <sz val="12"/>
      <name val="方正黑体_GBK"/>
      <family val="4"/>
    </font>
    <font>
      <sz val="10"/>
      <color theme="1"/>
      <name val="宋体"/>
      <family val="0"/>
    </font>
    <font>
      <sz val="12"/>
      <color theme="1"/>
      <name val="宋体"/>
      <family val="0"/>
    </font>
    <font>
      <sz val="10"/>
      <color rgb="FFFF0000"/>
      <name val="宋体"/>
      <family val="0"/>
    </font>
    <font>
      <sz val="12"/>
      <color rgb="FFFF0000"/>
      <name val="宋体"/>
      <family val="0"/>
    </font>
    <font>
      <sz val="12"/>
      <color theme="1"/>
      <name val="仿宋_GB2312"/>
      <family val="3"/>
    </font>
    <font>
      <sz val="12"/>
      <color theme="1"/>
      <name val="方正仿宋_GBK"/>
      <family val="4"/>
    </font>
    <font>
      <b/>
      <sz val="12"/>
      <color rgb="FFFF0000"/>
      <name val="宋体"/>
      <family val="0"/>
    </font>
    <font>
      <b/>
      <sz val="14"/>
      <color rgb="FFFF0000"/>
      <name val="宋体"/>
      <family val="0"/>
    </font>
    <font>
      <sz val="12"/>
      <color theme="1"/>
      <name val="仿宋"/>
      <family val="3"/>
    </font>
    <font>
      <b/>
      <sz val="8"/>
      <name val="宋体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0" fillId="23" borderId="9" applyNumberFormat="0" applyFont="0" applyAlignment="0" applyProtection="0"/>
  </cellStyleXfs>
  <cellXfs count="265">
    <xf numFmtId="0" fontId="0" fillId="0" borderId="0" xfId="0" applyAlignment="1">
      <alignment/>
    </xf>
    <xf numFmtId="0" fontId="0" fillId="0" borderId="0" xfId="46">
      <alignment vertical="center"/>
      <protection/>
    </xf>
    <xf numFmtId="0" fontId="0" fillId="0" borderId="0" xfId="46" applyFont="1">
      <alignment vertical="center"/>
      <protection/>
    </xf>
    <xf numFmtId="0" fontId="0" fillId="0" borderId="0" xfId="46" applyFont="1" applyFill="1">
      <alignment vertical="center"/>
      <protection/>
    </xf>
    <xf numFmtId="0" fontId="0" fillId="0" borderId="0" xfId="46" applyFill="1">
      <alignment vertical="center"/>
      <protection/>
    </xf>
    <xf numFmtId="0" fontId="24" fillId="0" borderId="10" xfId="46" applyFont="1" applyBorder="1" applyAlignment="1">
      <alignment horizontal="center" vertical="center"/>
      <protection/>
    </xf>
    <xf numFmtId="0" fontId="24" fillId="0" borderId="11" xfId="46" applyFont="1" applyBorder="1" applyAlignment="1">
      <alignment horizontal="center" vertical="center"/>
      <protection/>
    </xf>
    <xf numFmtId="0" fontId="24" fillId="0" borderId="12" xfId="46" applyFont="1" applyBorder="1" applyAlignment="1">
      <alignment horizontal="center" vertical="center"/>
      <protection/>
    </xf>
    <xf numFmtId="0" fontId="27" fillId="0" borderId="11" xfId="46" applyFont="1" applyBorder="1" applyAlignment="1">
      <alignment horizontal="center" vertical="center"/>
      <protection/>
    </xf>
    <xf numFmtId="0" fontId="27" fillId="0" borderId="12" xfId="46" applyFont="1" applyBorder="1" applyAlignment="1">
      <alignment horizontal="center" vertical="center"/>
      <protection/>
    </xf>
    <xf numFmtId="188" fontId="27" fillId="0" borderId="10" xfId="46" applyNumberFormat="1" applyFont="1" applyBorder="1" applyAlignment="1">
      <alignment horizontal="center" vertical="center"/>
      <protection/>
    </xf>
    <xf numFmtId="188" fontId="27" fillId="0" borderId="10" xfId="46" applyNumberFormat="1" applyFont="1" applyBorder="1" applyAlignment="1">
      <alignment vertical="center"/>
      <protection/>
    </xf>
    <xf numFmtId="186" fontId="27" fillId="0" borderId="10" xfId="46" applyNumberFormat="1" applyFont="1" applyBorder="1" applyAlignment="1">
      <alignment vertical="center"/>
      <protection/>
    </xf>
    <xf numFmtId="0" fontId="23" fillId="0" borderId="10" xfId="46" applyFont="1" applyBorder="1">
      <alignment vertical="center"/>
      <protection/>
    </xf>
    <xf numFmtId="0" fontId="28" fillId="0" borderId="11" xfId="46" applyFont="1" applyBorder="1" applyAlignment="1">
      <alignment horizontal="center" vertical="center"/>
      <protection/>
    </xf>
    <xf numFmtId="0" fontId="28" fillId="0" borderId="12" xfId="46" applyFont="1" applyBorder="1" applyAlignment="1">
      <alignment horizontal="center" vertical="center"/>
      <protection/>
    </xf>
    <xf numFmtId="188" fontId="28" fillId="0" borderId="10" xfId="46" applyNumberFormat="1" applyFont="1" applyBorder="1" applyAlignment="1">
      <alignment horizontal="center" vertical="center"/>
      <protection/>
    </xf>
    <xf numFmtId="186" fontId="28" fillId="0" borderId="10" xfId="46" applyNumberFormat="1" applyFont="1" applyBorder="1" applyAlignment="1">
      <alignment horizontal="center" vertical="center"/>
      <protection/>
    </xf>
    <xf numFmtId="0" fontId="29" fillId="0" borderId="11" xfId="46" applyFont="1" applyFill="1" applyBorder="1" applyAlignment="1">
      <alignment horizontal="center" vertical="center"/>
      <protection/>
    </xf>
    <xf numFmtId="49" fontId="30" fillId="0" borderId="13" xfId="46" applyNumberFormat="1" applyFont="1" applyFill="1" applyBorder="1" applyAlignment="1" applyProtection="1">
      <alignment horizontal="left" vertical="center"/>
      <protection/>
    </xf>
    <xf numFmtId="188" fontId="31" fillId="0" borderId="11" xfId="46" applyNumberFormat="1" applyFont="1" applyFill="1" applyBorder="1" applyAlignment="1">
      <alignment horizontal="center" vertical="center"/>
      <protection/>
    </xf>
    <xf numFmtId="188" fontId="31" fillId="0" borderId="11" xfId="46" applyNumberFormat="1" applyFont="1" applyFill="1" applyBorder="1" applyAlignment="1">
      <alignment vertical="center"/>
      <protection/>
    </xf>
    <xf numFmtId="0" fontId="31" fillId="0" borderId="11" xfId="46" applyFont="1" applyFill="1" applyBorder="1" applyAlignment="1">
      <alignment horizontal="center" vertical="center"/>
      <protection/>
    </xf>
    <xf numFmtId="186" fontId="31" fillId="0" borderId="10" xfId="46" applyNumberFormat="1" applyFont="1" applyFill="1" applyBorder="1" applyAlignment="1">
      <alignment horizontal="center" vertical="center"/>
      <protection/>
    </xf>
    <xf numFmtId="49" fontId="30" fillId="0" borderId="10" xfId="46" applyNumberFormat="1" applyFont="1" applyFill="1" applyBorder="1" applyAlignment="1" applyProtection="1">
      <alignment horizontal="left" vertical="center"/>
      <protection/>
    </xf>
    <xf numFmtId="188" fontId="30" fillId="0" borderId="10" xfId="46" applyNumberFormat="1" applyFont="1" applyFill="1" applyBorder="1" applyAlignment="1" applyProtection="1">
      <alignment horizontal="center" vertical="center"/>
      <protection/>
    </xf>
    <xf numFmtId="186" fontId="30" fillId="0" borderId="10" xfId="46" applyNumberFormat="1" applyFont="1" applyFill="1" applyBorder="1" applyAlignment="1" applyProtection="1">
      <alignment horizontal="center" vertical="center"/>
      <protection/>
    </xf>
    <xf numFmtId="188" fontId="28" fillId="0" borderId="10" xfId="46" applyNumberFormat="1" applyFont="1" applyBorder="1" applyAlignment="1">
      <alignment vertical="center"/>
      <protection/>
    </xf>
    <xf numFmtId="0" fontId="32" fillId="0" borderId="11" xfId="46" applyFont="1" applyBorder="1" applyAlignment="1">
      <alignment horizontal="center" vertical="center"/>
      <protection/>
    </xf>
    <xf numFmtId="188" fontId="24" fillId="0" borderId="10" xfId="46" applyNumberFormat="1" applyFont="1" applyBorder="1" applyAlignment="1">
      <alignment horizontal="center" vertical="center"/>
      <protection/>
    </xf>
    <xf numFmtId="188" fontId="24" fillId="0" borderId="10" xfId="46" applyNumberFormat="1" applyFont="1" applyBorder="1" applyAlignment="1">
      <alignment vertical="center"/>
      <protection/>
    </xf>
    <xf numFmtId="186" fontId="24" fillId="0" borderId="10" xfId="46" applyNumberFormat="1" applyFont="1" applyBorder="1" applyAlignment="1">
      <alignment horizontal="center" vertical="center"/>
      <protection/>
    </xf>
    <xf numFmtId="186" fontId="26" fillId="0" borderId="10" xfId="46" applyNumberFormat="1" applyFont="1" applyFill="1" applyBorder="1" applyAlignment="1">
      <alignment horizontal="center" vertical="center"/>
      <protection/>
    </xf>
    <xf numFmtId="49" fontId="23" fillId="0" borderId="13" xfId="46" applyNumberFormat="1" applyFont="1" applyFill="1" applyBorder="1" applyAlignment="1" applyProtection="1">
      <alignment horizontal="left" vertical="center"/>
      <protection/>
    </xf>
    <xf numFmtId="188" fontId="23" fillId="0" borderId="10" xfId="46" applyNumberFormat="1" applyFont="1" applyFill="1" applyBorder="1" applyAlignment="1" applyProtection="1">
      <alignment horizontal="center" vertical="center"/>
      <protection/>
    </xf>
    <xf numFmtId="186" fontId="23" fillId="0" borderId="10" xfId="46" applyNumberFormat="1" applyFont="1" applyFill="1" applyBorder="1" applyAlignment="1" applyProtection="1">
      <alignment horizontal="center" vertical="center"/>
      <protection/>
    </xf>
    <xf numFmtId="0" fontId="23" fillId="0" borderId="10" xfId="46" applyFont="1" applyBorder="1" applyAlignment="1">
      <alignment vertical="center" wrapText="1"/>
      <protection/>
    </xf>
    <xf numFmtId="0" fontId="32" fillId="0" borderId="12" xfId="46" applyFont="1" applyBorder="1" applyAlignment="1">
      <alignment horizontal="center" vertical="center"/>
      <protection/>
    </xf>
    <xf numFmtId="188" fontId="32" fillId="0" borderId="10" xfId="46" applyNumberFormat="1" applyFont="1" applyBorder="1" applyAlignment="1">
      <alignment horizontal="center" vertical="center"/>
      <protection/>
    </xf>
    <xf numFmtId="188" fontId="32" fillId="0" borderId="10" xfId="46" applyNumberFormat="1" applyFont="1" applyBorder="1" applyAlignment="1">
      <alignment vertical="center"/>
      <protection/>
    </xf>
    <xf numFmtId="186" fontId="32" fillId="0" borderId="10" xfId="46" applyNumberFormat="1" applyFont="1" applyBorder="1" applyAlignment="1">
      <alignment horizontal="center" vertical="center"/>
      <protection/>
    </xf>
    <xf numFmtId="0" fontId="23" fillId="0" borderId="0" xfId="46" applyFont="1">
      <alignment vertical="center"/>
      <protection/>
    </xf>
    <xf numFmtId="49" fontId="23" fillId="0" borderId="10" xfId="46" applyNumberFormat="1" applyFont="1" applyFill="1" applyBorder="1" applyAlignment="1" applyProtection="1">
      <alignment horizontal="center" vertical="center"/>
      <protection/>
    </xf>
    <xf numFmtId="0" fontId="33" fillId="0" borderId="0" xfId="0" applyFont="1" applyAlignment="1">
      <alignment vertical="center"/>
    </xf>
    <xf numFmtId="186" fontId="32" fillId="0" borderId="0" xfId="46" applyNumberFormat="1" applyFont="1" applyBorder="1" applyAlignment="1">
      <alignment horizontal="center" vertical="center"/>
      <protection/>
    </xf>
    <xf numFmtId="186" fontId="26" fillId="0" borderId="0" xfId="46" applyNumberFormat="1" applyFont="1" applyFill="1" applyBorder="1" applyAlignment="1">
      <alignment horizontal="center" vertical="center"/>
      <protection/>
    </xf>
    <xf numFmtId="0" fontId="55" fillId="0" borderId="10" xfId="46" applyFont="1" applyBorder="1" applyAlignment="1">
      <alignment vertical="center" wrapText="1"/>
      <protection/>
    </xf>
    <xf numFmtId="188" fontId="55" fillId="0" borderId="10" xfId="46" applyNumberFormat="1" applyFont="1" applyFill="1" applyBorder="1" applyAlignment="1" applyProtection="1">
      <alignment horizontal="center" vertical="center"/>
      <protection/>
    </xf>
    <xf numFmtId="186" fontId="55" fillId="0" borderId="10" xfId="46" applyNumberFormat="1" applyFont="1" applyFill="1" applyBorder="1" applyAlignment="1">
      <alignment horizontal="center" vertical="center"/>
      <protection/>
    </xf>
    <xf numFmtId="186" fontId="55" fillId="0" borderId="10" xfId="46" applyNumberFormat="1" applyFont="1" applyFill="1" applyBorder="1" applyAlignment="1" applyProtection="1">
      <alignment horizontal="center" vertical="center"/>
      <protection/>
    </xf>
    <xf numFmtId="0" fontId="56" fillId="0" borderId="0" xfId="46" applyFont="1" applyFill="1">
      <alignment vertical="center"/>
      <protection/>
    </xf>
    <xf numFmtId="0" fontId="55" fillId="0" borderId="10" xfId="46" applyNumberFormat="1" applyFont="1" applyFill="1" applyBorder="1" applyAlignment="1" applyProtection="1">
      <alignment horizontal="center" vertical="center"/>
      <protection/>
    </xf>
    <xf numFmtId="186" fontId="55" fillId="24" borderId="10" xfId="46" applyNumberFormat="1" applyFont="1" applyFill="1" applyBorder="1" applyAlignment="1">
      <alignment horizontal="center" vertical="center"/>
      <protection/>
    </xf>
    <xf numFmtId="0" fontId="55" fillId="0" borderId="10" xfId="0" applyFont="1" applyBorder="1" applyAlignment="1">
      <alignment vertical="center"/>
    </xf>
    <xf numFmtId="49" fontId="55" fillId="0" borderId="10" xfId="46" applyNumberFormat="1" applyFont="1" applyFill="1" applyBorder="1" applyAlignment="1" applyProtection="1">
      <alignment horizontal="center" vertical="center"/>
      <protection/>
    </xf>
    <xf numFmtId="0" fontId="55" fillId="0" borderId="10" xfId="0" applyFont="1" applyBorder="1" applyAlignment="1">
      <alignment horizontal="center" vertical="center"/>
    </xf>
    <xf numFmtId="49" fontId="23" fillId="0" borderId="10" xfId="45" applyNumberFormat="1" applyFont="1" applyFill="1" applyBorder="1" applyAlignment="1" applyProtection="1">
      <alignment vertical="center" wrapText="1"/>
      <protection/>
    </xf>
    <xf numFmtId="49" fontId="23" fillId="0" borderId="10" xfId="45" applyNumberFormat="1" applyFont="1" applyFill="1" applyBorder="1" applyAlignment="1" applyProtection="1">
      <alignment vertical="center"/>
      <protection/>
    </xf>
    <xf numFmtId="49" fontId="57" fillId="0" borderId="10" xfId="46" applyNumberFormat="1" applyFont="1" applyFill="1" applyBorder="1" applyAlignment="1" applyProtection="1">
      <alignment horizontal="center" vertical="center"/>
      <protection/>
    </xf>
    <xf numFmtId="0" fontId="58" fillId="0" borderId="0" xfId="46" applyFont="1">
      <alignment vertical="center"/>
      <protection/>
    </xf>
    <xf numFmtId="0" fontId="55" fillId="0" borderId="10" xfId="46" applyFont="1" applyBorder="1" applyAlignment="1">
      <alignment vertical="center" wrapText="1"/>
      <protection/>
    </xf>
    <xf numFmtId="186" fontId="55" fillId="0" borderId="10" xfId="46" applyNumberFormat="1" applyFont="1" applyFill="1" applyBorder="1" applyAlignment="1" applyProtection="1">
      <alignment horizontal="center" vertical="center"/>
      <protection/>
    </xf>
    <xf numFmtId="49" fontId="55" fillId="0" borderId="10" xfId="46" applyNumberFormat="1" applyFont="1" applyFill="1" applyBorder="1" applyAlignment="1" applyProtection="1">
      <alignment horizontal="center" vertical="center"/>
      <protection/>
    </xf>
    <xf numFmtId="49" fontId="55" fillId="0" borderId="13" xfId="46" applyNumberFormat="1" applyFont="1" applyFill="1" applyBorder="1" applyAlignment="1" applyProtection="1">
      <alignment horizontal="left" vertical="center"/>
      <protection/>
    </xf>
    <xf numFmtId="188" fontId="55" fillId="0" borderId="10" xfId="46" applyNumberFormat="1" applyFont="1" applyFill="1" applyBorder="1" applyAlignment="1" applyProtection="1">
      <alignment horizontal="center" vertical="center"/>
      <protection/>
    </xf>
    <xf numFmtId="186" fontId="55" fillId="0" borderId="10" xfId="46" applyNumberFormat="1" applyFont="1" applyFill="1" applyBorder="1" applyAlignment="1">
      <alignment horizontal="center" vertical="center"/>
      <protection/>
    </xf>
    <xf numFmtId="0" fontId="24" fillId="0" borderId="11" xfId="46" applyFont="1" applyBorder="1" applyAlignment="1">
      <alignment horizontal="center" vertical="center" wrapText="1"/>
      <protection/>
    </xf>
    <xf numFmtId="49" fontId="55" fillId="0" borderId="10" xfId="46" applyNumberFormat="1" applyFont="1" applyFill="1" applyBorder="1" applyAlignment="1" applyProtection="1">
      <alignment horizontal="center" vertical="center"/>
      <protection/>
    </xf>
    <xf numFmtId="0" fontId="55" fillId="0" borderId="10" xfId="0" applyFont="1" applyBorder="1" applyAlignment="1">
      <alignment horizontal="center" vertical="center"/>
    </xf>
    <xf numFmtId="0" fontId="55" fillId="0" borderId="10" xfId="46" applyFont="1" applyBorder="1" applyAlignment="1">
      <alignment vertical="center" wrapText="1"/>
      <protection/>
    </xf>
    <xf numFmtId="0" fontId="23" fillId="0" borderId="12" xfId="46" applyFont="1" applyBorder="1" applyAlignment="1">
      <alignment horizontal="center" vertical="center"/>
      <protection/>
    </xf>
    <xf numFmtId="0" fontId="23" fillId="0" borderId="14" xfId="46" applyFont="1" applyBorder="1" applyAlignment="1">
      <alignment horizontal="center" vertical="center" wrapText="1"/>
      <protection/>
    </xf>
    <xf numFmtId="0" fontId="23" fillId="0" borderId="11" xfId="46" applyFont="1" applyBorder="1" applyAlignment="1">
      <alignment horizontal="center" vertical="center"/>
      <protection/>
    </xf>
    <xf numFmtId="0" fontId="23" fillId="0" borderId="10" xfId="46" applyFont="1" applyBorder="1" applyAlignment="1">
      <alignment horizontal="center" vertical="center"/>
      <protection/>
    </xf>
    <xf numFmtId="0" fontId="23" fillId="0" borderId="11" xfId="46" applyFont="1" applyBorder="1" applyAlignment="1">
      <alignment horizontal="center" vertical="center" wrapText="1"/>
      <protection/>
    </xf>
    <xf numFmtId="0" fontId="55" fillId="0" borderId="10" xfId="46" applyFont="1" applyBorder="1" applyAlignment="1">
      <alignment vertical="center" wrapText="1"/>
      <protection/>
    </xf>
    <xf numFmtId="49" fontId="55" fillId="0" borderId="13" xfId="46" applyNumberFormat="1" applyFont="1" applyFill="1" applyBorder="1" applyAlignment="1" applyProtection="1">
      <alignment horizontal="left" vertical="center" wrapText="1"/>
      <protection/>
    </xf>
    <xf numFmtId="0" fontId="23" fillId="0" borderId="15" xfId="0" applyFont="1" applyBorder="1" applyAlignment="1">
      <alignment vertical="center" wrapText="1"/>
    </xf>
    <xf numFmtId="49" fontId="55" fillId="0" borderId="10" xfId="46" applyNumberFormat="1" applyFont="1" applyFill="1" applyBorder="1" applyAlignment="1" applyProtection="1">
      <alignment horizontal="center" vertical="center"/>
      <protection/>
    </xf>
    <xf numFmtId="0" fontId="55" fillId="0" borderId="10" xfId="0" applyFont="1" applyBorder="1" applyAlignment="1">
      <alignment horizontal="center" vertical="center"/>
    </xf>
    <xf numFmtId="0" fontId="24" fillId="0" borderId="10" xfId="46" applyFont="1" applyBorder="1" applyAlignment="1">
      <alignment horizontal="center" vertical="center" wrapText="1"/>
      <protection/>
    </xf>
    <xf numFmtId="188" fontId="55" fillId="0" borderId="10" xfId="46" applyNumberFormat="1" applyFont="1" applyFill="1" applyBorder="1" applyAlignment="1">
      <alignment horizontal="center" vertical="center"/>
      <protection/>
    </xf>
    <xf numFmtId="0" fontId="23" fillId="0" borderId="11" xfId="46" applyFont="1" applyBorder="1" applyAlignment="1">
      <alignment horizontal="center" vertical="center"/>
      <protection/>
    </xf>
    <xf numFmtId="49" fontId="55" fillId="0" borderId="10" xfId="46" applyNumberFormat="1" applyFont="1" applyFill="1" applyBorder="1" applyAlignment="1" applyProtection="1">
      <alignment vertical="center" wrapText="1"/>
      <protection/>
    </xf>
    <xf numFmtId="0" fontId="55" fillId="0" borderId="10" xfId="0" applyFont="1" applyBorder="1" applyAlignment="1">
      <alignment vertical="center" wrapText="1"/>
    </xf>
    <xf numFmtId="49" fontId="55" fillId="0" borderId="16" xfId="46" applyNumberFormat="1" applyFont="1" applyFill="1" applyBorder="1" applyAlignment="1" applyProtection="1">
      <alignment vertical="center" wrapText="1"/>
      <protection/>
    </xf>
    <xf numFmtId="0" fontId="55" fillId="0" borderId="10" xfId="46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Font="1" applyBorder="1" applyAlignment="1">
      <alignment horizontal="right" vertical="center"/>
    </xf>
    <xf numFmtId="0" fontId="23" fillId="0" borderId="10" xfId="46" applyFont="1" applyBorder="1" applyAlignment="1">
      <alignment horizontal="center" vertical="center" wrapText="1"/>
      <protection/>
    </xf>
    <xf numFmtId="0" fontId="23" fillId="0" borderId="10" xfId="46" applyFont="1" applyBorder="1" applyAlignment="1">
      <alignment horizontal="center" vertical="center"/>
      <protection/>
    </xf>
    <xf numFmtId="186" fontId="55" fillId="0" borderId="10" xfId="0" applyNumberFormat="1" applyFont="1" applyBorder="1" applyAlignment="1">
      <alignment horizontal="center" vertical="center"/>
    </xf>
    <xf numFmtId="49" fontId="55" fillId="0" borderId="10" xfId="46" applyNumberFormat="1" applyFont="1" applyFill="1" applyBorder="1" applyAlignment="1" applyProtection="1">
      <alignment horizontal="left" vertical="center"/>
      <protection/>
    </xf>
    <xf numFmtId="0" fontId="55" fillId="0" borderId="10" xfId="46" applyFont="1" applyBorder="1" applyAlignment="1">
      <alignment vertical="center" wrapText="1"/>
      <protection/>
    </xf>
    <xf numFmtId="2" fontId="55" fillId="0" borderId="10" xfId="46" applyNumberFormat="1" applyFont="1" applyFill="1" applyBorder="1" applyAlignment="1" applyProtection="1">
      <alignment horizontal="center" vertical="center"/>
      <protection/>
    </xf>
    <xf numFmtId="193" fontId="55" fillId="0" borderId="10" xfId="46" applyNumberFormat="1" applyFont="1" applyFill="1" applyBorder="1" applyAlignment="1" applyProtection="1">
      <alignment horizontal="center" vertical="center"/>
      <protection/>
    </xf>
    <xf numFmtId="188" fontId="55" fillId="25" borderId="10" xfId="46" applyNumberFormat="1" applyFont="1" applyFill="1" applyBorder="1" applyAlignment="1" applyProtection="1">
      <alignment horizontal="center" vertical="center"/>
      <protection/>
    </xf>
    <xf numFmtId="0" fontId="55" fillId="25" borderId="10" xfId="46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Alignment="1">
      <alignment vertical="center"/>
    </xf>
    <xf numFmtId="0" fontId="58" fillId="0" borderId="0" xfId="0" applyFont="1" applyAlignment="1">
      <alignment wrapText="1"/>
    </xf>
    <xf numFmtId="0" fontId="23" fillId="0" borderId="0" xfId="46" applyFont="1" applyAlignment="1">
      <alignment vertical="center" wrapText="1"/>
      <protection/>
    </xf>
    <xf numFmtId="0" fontId="0" fillId="0" borderId="0" xfId="0" applyFont="1" applyAlignment="1">
      <alignment/>
    </xf>
    <xf numFmtId="49" fontId="55" fillId="0" borderId="13" xfId="46" applyNumberFormat="1" applyFont="1" applyFill="1" applyBorder="1" applyAlignment="1" applyProtection="1">
      <alignment horizontal="left" vertical="center"/>
      <protection/>
    </xf>
    <xf numFmtId="0" fontId="55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34" fillId="0" borderId="11" xfId="46" applyFont="1" applyBorder="1" applyAlignment="1">
      <alignment horizontal="center" vertical="center"/>
      <protection/>
    </xf>
    <xf numFmtId="0" fontId="35" fillId="0" borderId="10" xfId="0" applyFont="1" applyBorder="1" applyAlignment="1">
      <alignment/>
    </xf>
    <xf numFmtId="49" fontId="59" fillId="0" borderId="10" xfId="46" applyNumberFormat="1" applyFont="1" applyFill="1" applyBorder="1" applyAlignment="1" applyProtection="1">
      <alignment horizontal="center" vertical="center"/>
      <protection/>
    </xf>
    <xf numFmtId="49" fontId="59" fillId="0" borderId="13" xfId="46" applyNumberFormat="1" applyFont="1" applyFill="1" applyBorder="1" applyAlignment="1" applyProtection="1">
      <alignment horizontal="left" vertical="center"/>
      <protection/>
    </xf>
    <xf numFmtId="49" fontId="59" fillId="0" borderId="10" xfId="46" applyNumberFormat="1" applyFont="1" applyFill="1" applyBorder="1" applyAlignment="1" applyProtection="1">
      <alignment horizontal="left" vertical="center"/>
      <protection/>
    </xf>
    <xf numFmtId="49" fontId="59" fillId="0" borderId="13" xfId="46" applyNumberFormat="1" applyFont="1" applyFill="1" applyBorder="1" applyAlignment="1" applyProtection="1">
      <alignment horizontal="left" vertical="center" wrapText="1"/>
      <protection/>
    </xf>
    <xf numFmtId="0" fontId="35" fillId="0" borderId="0" xfId="0" applyFont="1" applyAlignment="1">
      <alignment horizontal="right"/>
    </xf>
    <xf numFmtId="0" fontId="36" fillId="0" borderId="12" xfId="46" applyFont="1" applyBorder="1" applyAlignment="1">
      <alignment horizontal="center" vertical="center"/>
      <protection/>
    </xf>
    <xf numFmtId="49" fontId="60" fillId="0" borderId="10" xfId="46" applyNumberFormat="1" applyFont="1" applyFill="1" applyBorder="1" applyAlignment="1" applyProtection="1">
      <alignment horizontal="left" vertical="center"/>
      <protection/>
    </xf>
    <xf numFmtId="0" fontId="35" fillId="0" borderId="10" xfId="0" applyFont="1" applyBorder="1" applyAlignment="1">
      <alignment vertical="center"/>
    </xf>
    <xf numFmtId="49" fontId="60" fillId="0" borderId="10" xfId="46" applyNumberFormat="1" applyFont="1" applyFill="1" applyBorder="1" applyAlignment="1" applyProtection="1">
      <alignment horizontal="left" vertical="center" wrapText="1"/>
      <protection/>
    </xf>
    <xf numFmtId="49" fontId="59" fillId="0" borderId="0" xfId="46" applyNumberFormat="1" applyFont="1" applyFill="1" applyBorder="1" applyAlignment="1" applyProtection="1">
      <alignment horizontal="center" vertical="center"/>
      <protection/>
    </xf>
    <xf numFmtId="0" fontId="35" fillId="0" borderId="0" xfId="0" applyFont="1" applyAlignment="1">
      <alignment/>
    </xf>
    <xf numFmtId="0" fontId="0" fillId="0" borderId="0" xfId="0" applyFont="1" applyAlignment="1">
      <alignment/>
    </xf>
    <xf numFmtId="2" fontId="58" fillId="0" borderId="0" xfId="0" applyNumberFormat="1" applyFont="1" applyAlignment="1">
      <alignment/>
    </xf>
    <xf numFmtId="232" fontId="58" fillId="0" borderId="0" xfId="0" applyNumberFormat="1" applyFont="1" applyAlignment="1">
      <alignment/>
    </xf>
    <xf numFmtId="1" fontId="58" fillId="0" borderId="0" xfId="0" applyNumberFormat="1" applyFont="1" applyAlignment="1">
      <alignment/>
    </xf>
    <xf numFmtId="186" fontId="0" fillId="0" borderId="0" xfId="0" applyNumberFormat="1" applyAlignment="1">
      <alignment/>
    </xf>
    <xf numFmtId="186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/>
    </xf>
    <xf numFmtId="222" fontId="39" fillId="0" borderId="0" xfId="0" applyNumberFormat="1" applyFont="1" applyAlignment="1">
      <alignment/>
    </xf>
    <xf numFmtId="191" fontId="39" fillId="0" borderId="0" xfId="0" applyNumberFormat="1" applyFont="1" applyAlignment="1">
      <alignment/>
    </xf>
    <xf numFmtId="192" fontId="39" fillId="0" borderId="0" xfId="0" applyNumberFormat="1" applyFont="1" applyAlignment="1">
      <alignment/>
    </xf>
    <xf numFmtId="0" fontId="55" fillId="0" borderId="10" xfId="46" applyNumberFormat="1" applyFont="1" applyFill="1" applyBorder="1" applyAlignment="1" applyProtection="1">
      <alignment horizontal="center" vertical="center"/>
      <protection/>
    </xf>
    <xf numFmtId="49" fontId="55" fillId="0" borderId="10" xfId="46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49" fontId="55" fillId="0" borderId="17" xfId="46" applyNumberFormat="1" applyFont="1" applyFill="1" applyBorder="1" applyAlignment="1" applyProtection="1">
      <alignment horizontal="left" vertical="center"/>
      <protection/>
    </xf>
    <xf numFmtId="49" fontId="55" fillId="0" borderId="13" xfId="46" applyNumberFormat="1" applyFont="1" applyFill="1" applyBorder="1" applyAlignment="1" applyProtection="1">
      <alignment horizontal="left" vertical="center" indent="1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49" fontId="55" fillId="0" borderId="10" xfId="46" applyNumberFormat="1" applyFont="1" applyFill="1" applyBorder="1" applyAlignment="1" applyProtection="1">
      <alignment horizontal="left" vertical="center" indent="1"/>
      <protection/>
    </xf>
    <xf numFmtId="0" fontId="24" fillId="0" borderId="18" xfId="46" applyFont="1" applyBorder="1" applyAlignment="1">
      <alignment vertical="center"/>
      <protection/>
    </xf>
    <xf numFmtId="0" fontId="24" fillId="0" borderId="17" xfId="46" applyFont="1" applyBorder="1" applyAlignment="1">
      <alignment vertical="center"/>
      <protection/>
    </xf>
    <xf numFmtId="0" fontId="24" fillId="0" borderId="19" xfId="46" applyFont="1" applyBorder="1" applyAlignment="1">
      <alignment vertical="center"/>
      <protection/>
    </xf>
    <xf numFmtId="188" fontId="24" fillId="0" borderId="13" xfId="46" applyNumberFormat="1" applyFont="1" applyBorder="1" applyAlignment="1">
      <alignment vertical="center"/>
      <protection/>
    </xf>
    <xf numFmtId="188" fontId="24" fillId="0" borderId="19" xfId="46" applyNumberFormat="1" applyFont="1" applyBorder="1" applyAlignment="1">
      <alignment vertical="center"/>
      <protection/>
    </xf>
    <xf numFmtId="0" fontId="23" fillId="0" borderId="10" xfId="0" applyFont="1" applyBorder="1" applyAlignment="1">
      <alignment/>
    </xf>
    <xf numFmtId="188" fontId="55" fillId="0" borderId="10" xfId="46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 indent="1"/>
    </xf>
    <xf numFmtId="0" fontId="6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0" fillId="0" borderId="0" xfId="0" applyFont="1" applyAlignment="1">
      <alignment/>
    </xf>
    <xf numFmtId="0" fontId="62" fillId="0" borderId="0" xfId="0" applyFont="1" applyAlignment="1">
      <alignment/>
    </xf>
    <xf numFmtId="49" fontId="55" fillId="0" borderId="17" xfId="46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2" fontId="58" fillId="0" borderId="0" xfId="0" applyNumberFormat="1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55" fillId="0" borderId="10" xfId="46" applyNumberFormat="1" applyFont="1" applyFill="1" applyBorder="1" applyAlignment="1" applyProtection="1">
      <alignment horizontal="center" vertical="center"/>
      <protection/>
    </xf>
    <xf numFmtId="49" fontId="55" fillId="0" borderId="10" xfId="46" applyNumberFormat="1" applyFont="1" applyFill="1" applyBorder="1" applyAlignment="1" applyProtection="1">
      <alignment horizontal="center" vertical="center"/>
      <protection/>
    </xf>
    <xf numFmtId="49" fontId="55" fillId="0" borderId="10" xfId="46" applyNumberFormat="1" applyFont="1" applyFill="1" applyBorder="1" applyAlignment="1" applyProtection="1">
      <alignment horizontal="left" vertical="center"/>
      <protection/>
    </xf>
    <xf numFmtId="0" fontId="55" fillId="0" borderId="10" xfId="46" applyFont="1" applyBorder="1" applyAlignment="1">
      <alignment vertical="center" wrapText="1"/>
      <protection/>
    </xf>
    <xf numFmtId="0" fontId="23" fillId="0" borderId="0" xfId="0" applyFont="1" applyAlignment="1">
      <alignment/>
    </xf>
    <xf numFmtId="0" fontId="23" fillId="0" borderId="0" xfId="46" applyFont="1" applyAlignment="1">
      <alignment vertical="center" wrapText="1"/>
      <protection/>
    </xf>
    <xf numFmtId="0" fontId="24" fillId="0" borderId="10" xfId="46" applyFont="1" applyBorder="1" applyAlignment="1">
      <alignment horizontal="center" vertical="center" wrapText="1"/>
      <protection/>
    </xf>
    <xf numFmtId="0" fontId="55" fillId="0" borderId="10" xfId="46" applyNumberFormat="1" applyFont="1" applyFill="1" applyBorder="1" applyAlignment="1" applyProtection="1">
      <alignment horizontal="center" vertical="center"/>
      <protection/>
    </xf>
    <xf numFmtId="0" fontId="24" fillId="0" borderId="12" xfId="46" applyFont="1" applyBorder="1" applyAlignment="1">
      <alignment horizontal="center" vertical="center"/>
      <protection/>
    </xf>
    <xf numFmtId="0" fontId="23" fillId="0" borderId="11" xfId="46" applyFont="1" applyBorder="1" applyAlignment="1">
      <alignment horizontal="center" vertical="center" wrapText="1"/>
      <protection/>
    </xf>
    <xf numFmtId="0" fontId="23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right"/>
    </xf>
    <xf numFmtId="0" fontId="44" fillId="0" borderId="11" xfId="46" applyFont="1" applyBorder="1" applyAlignment="1">
      <alignment horizontal="center" vertical="center"/>
      <protection/>
    </xf>
    <xf numFmtId="0" fontId="43" fillId="0" borderId="12" xfId="46" applyFont="1" applyBorder="1" applyAlignment="1">
      <alignment horizontal="center" vertical="center"/>
      <protection/>
    </xf>
    <xf numFmtId="0" fontId="42" fillId="0" borderId="10" xfId="0" applyFont="1" applyBorder="1" applyAlignment="1">
      <alignment/>
    </xf>
    <xf numFmtId="49" fontId="63" fillId="0" borderId="10" xfId="46" applyNumberFormat="1" applyFont="1" applyFill="1" applyBorder="1" applyAlignment="1" applyProtection="1">
      <alignment horizontal="center" vertical="center"/>
      <protection/>
    </xf>
    <xf numFmtId="49" fontId="63" fillId="0" borderId="13" xfId="46" applyNumberFormat="1" applyFont="1" applyFill="1" applyBorder="1" applyAlignment="1" applyProtection="1">
      <alignment horizontal="left" vertical="center"/>
      <protection/>
    </xf>
    <xf numFmtId="0" fontId="42" fillId="0" borderId="10" xfId="0" applyFont="1" applyBorder="1" applyAlignment="1">
      <alignment vertical="center"/>
    </xf>
    <xf numFmtId="49" fontId="63" fillId="0" borderId="10" xfId="46" applyNumberFormat="1" applyFont="1" applyFill="1" applyBorder="1" applyAlignment="1" applyProtection="1">
      <alignment horizontal="left" vertical="center" wrapText="1"/>
      <protection/>
    </xf>
    <xf numFmtId="49" fontId="63" fillId="0" borderId="10" xfId="46" applyNumberFormat="1" applyFont="1" applyFill="1" applyBorder="1" applyAlignment="1" applyProtection="1">
      <alignment horizontal="left" vertical="center"/>
      <protection/>
    </xf>
    <xf numFmtId="49" fontId="63" fillId="0" borderId="0" xfId="46" applyNumberFormat="1" applyFont="1" applyFill="1" applyBorder="1" applyAlignment="1" applyProtection="1">
      <alignment horizontal="center" vertical="center"/>
      <protection/>
    </xf>
    <xf numFmtId="0" fontId="36" fillId="0" borderId="16" xfId="46" applyFont="1" applyBorder="1" applyAlignment="1">
      <alignment horizontal="center" vertical="center" wrapText="1"/>
      <protection/>
    </xf>
    <xf numFmtId="0" fontId="36" fillId="0" borderId="11" xfId="46" applyFont="1" applyBorder="1" applyAlignment="1">
      <alignment horizontal="center" vertical="center" wrapText="1"/>
      <protection/>
    </xf>
    <xf numFmtId="0" fontId="36" fillId="0" borderId="16" xfId="46" applyFont="1" applyBorder="1" applyAlignment="1">
      <alignment horizontal="center" vertical="center"/>
      <protection/>
    </xf>
    <xf numFmtId="0" fontId="36" fillId="0" borderId="11" xfId="46" applyFont="1" applyBorder="1" applyAlignment="1">
      <alignment horizontal="center" vertical="center"/>
      <protection/>
    </xf>
    <xf numFmtId="0" fontId="37" fillId="0" borderId="0" xfId="0" applyFont="1" applyAlignment="1">
      <alignment horizontal="center"/>
    </xf>
    <xf numFmtId="0" fontId="24" fillId="0" borderId="10" xfId="46" applyFont="1" applyBorder="1" applyAlignment="1">
      <alignment horizontal="center" vertical="center"/>
      <protection/>
    </xf>
    <xf numFmtId="0" fontId="24" fillId="0" borderId="16" xfId="46" applyFont="1" applyBorder="1" applyAlignment="1">
      <alignment horizontal="center" vertical="center" wrapText="1"/>
      <protection/>
    </xf>
    <xf numFmtId="0" fontId="24" fillId="0" borderId="11" xfId="46" applyFont="1" applyBorder="1" applyAlignment="1">
      <alignment horizontal="center" vertical="center"/>
      <protection/>
    </xf>
    <xf numFmtId="0" fontId="24" fillId="0" borderId="16" xfId="46" applyFont="1" applyBorder="1" applyAlignment="1">
      <alignment horizontal="center" vertical="center" wrapText="1"/>
      <protection/>
    </xf>
    <xf numFmtId="0" fontId="24" fillId="0" borderId="11" xfId="46" applyFont="1" applyBorder="1" applyAlignment="1">
      <alignment horizontal="center" vertical="center" wrapText="1"/>
      <protection/>
    </xf>
    <xf numFmtId="0" fontId="24" fillId="0" borderId="20" xfId="46" applyFont="1" applyBorder="1" applyAlignment="1">
      <alignment horizontal="center" vertical="center" wrapText="1"/>
      <protection/>
    </xf>
    <xf numFmtId="0" fontId="24" fillId="0" borderId="14" xfId="46" applyFont="1" applyBorder="1" applyAlignment="1">
      <alignment horizontal="center" vertical="center" wrapText="1"/>
      <protection/>
    </xf>
    <xf numFmtId="0" fontId="55" fillId="0" borderId="10" xfId="46" applyNumberFormat="1" applyFont="1" applyFill="1" applyBorder="1" applyAlignment="1" applyProtection="1">
      <alignment horizontal="center" vertical="center"/>
      <protection/>
    </xf>
    <xf numFmtId="0" fontId="55" fillId="0" borderId="10" xfId="0" applyFont="1" applyBorder="1" applyAlignment="1">
      <alignment horizontal="center" vertical="center"/>
    </xf>
    <xf numFmtId="0" fontId="23" fillId="0" borderId="0" xfId="46" applyFont="1" applyAlignment="1">
      <alignment horizontal="left" vertical="center" wrapText="1"/>
      <protection/>
    </xf>
    <xf numFmtId="0" fontId="23" fillId="0" borderId="0" xfId="46" applyFont="1" applyAlignment="1">
      <alignment horizontal="left" vertical="center" wrapText="1"/>
      <protection/>
    </xf>
    <xf numFmtId="0" fontId="23" fillId="0" borderId="19" xfId="46" applyFont="1" applyBorder="1" applyAlignment="1">
      <alignment horizontal="left" vertical="center" wrapText="1"/>
      <protection/>
    </xf>
    <xf numFmtId="0" fontId="23" fillId="0" borderId="19" xfId="46" applyFont="1" applyBorder="1" applyAlignment="1">
      <alignment horizontal="left" vertical="center" wrapText="1"/>
      <protection/>
    </xf>
    <xf numFmtId="0" fontId="25" fillId="24" borderId="0" xfId="0" applyFont="1" applyFill="1" applyAlignment="1">
      <alignment horizontal="center" vertical="top"/>
    </xf>
    <xf numFmtId="0" fontId="23" fillId="0" borderId="15" xfId="45" applyFont="1" applyFill="1" applyBorder="1" applyAlignment="1">
      <alignment horizontal="left" vertical="center" wrapText="1"/>
      <protection/>
    </xf>
    <xf numFmtId="0" fontId="23" fillId="0" borderId="15" xfId="45" applyFont="1" applyFill="1" applyBorder="1" applyAlignment="1">
      <alignment horizontal="left" vertical="center" wrapText="1"/>
      <protection/>
    </xf>
    <xf numFmtId="0" fontId="24" fillId="0" borderId="16" xfId="46" applyFont="1" applyBorder="1" applyAlignment="1">
      <alignment horizontal="center" vertical="center" wrapText="1"/>
      <protection/>
    </xf>
    <xf numFmtId="0" fontId="24" fillId="0" borderId="16" xfId="46" applyFont="1" applyBorder="1" applyAlignment="1">
      <alignment horizontal="center" vertical="center"/>
      <protection/>
    </xf>
    <xf numFmtId="0" fontId="24" fillId="0" borderId="20" xfId="46" applyFont="1" applyBorder="1" applyAlignment="1">
      <alignment horizontal="center" vertical="center" wrapText="1"/>
      <protection/>
    </xf>
    <xf numFmtId="0" fontId="24" fillId="0" borderId="10" xfId="46" applyFont="1" applyBorder="1" applyAlignment="1">
      <alignment horizontal="center" vertical="center" wrapText="1"/>
      <protection/>
    </xf>
    <xf numFmtId="0" fontId="24" fillId="0" borderId="10" xfId="46" applyFont="1" applyBorder="1" applyAlignment="1">
      <alignment horizontal="center" vertical="center" wrapText="1"/>
      <protection/>
    </xf>
    <xf numFmtId="49" fontId="55" fillId="0" borderId="14" xfId="46" applyNumberFormat="1" applyFont="1" applyFill="1" applyBorder="1" applyAlignment="1" applyProtection="1">
      <alignment horizontal="center" vertical="center"/>
      <protection/>
    </xf>
    <xf numFmtId="49" fontId="55" fillId="0" borderId="15" xfId="46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 horizontal="center"/>
    </xf>
    <xf numFmtId="49" fontId="55" fillId="0" borderId="10" xfId="46" applyNumberFormat="1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4" fillId="0" borderId="10" xfId="46" applyFont="1" applyBorder="1" applyAlignment="1">
      <alignment horizontal="center" vertical="center" wrapText="1"/>
      <protection/>
    </xf>
    <xf numFmtId="0" fontId="24" fillId="0" borderId="16" xfId="46" applyFont="1" applyBorder="1" applyAlignment="1">
      <alignment horizontal="center" vertical="center" wrapText="1"/>
      <protection/>
    </xf>
    <xf numFmtId="0" fontId="24" fillId="0" borderId="20" xfId="46" applyFont="1" applyBorder="1" applyAlignment="1">
      <alignment horizontal="center" vertical="center" wrapText="1"/>
      <protection/>
    </xf>
    <xf numFmtId="0" fontId="24" fillId="0" borderId="18" xfId="46" applyFont="1" applyBorder="1" applyAlignment="1">
      <alignment horizontal="left" vertical="center" wrapText="1"/>
      <protection/>
    </xf>
    <xf numFmtId="0" fontId="24" fillId="0" borderId="17" xfId="46" applyFont="1" applyBorder="1" applyAlignment="1">
      <alignment horizontal="left" vertical="center" wrapText="1"/>
      <protection/>
    </xf>
    <xf numFmtId="0" fontId="24" fillId="0" borderId="13" xfId="46" applyFont="1" applyBorder="1" applyAlignment="1">
      <alignment horizontal="left" vertical="center" wrapText="1"/>
      <protection/>
    </xf>
    <xf numFmtId="0" fontId="24" fillId="0" borderId="16" xfId="46" applyFont="1" applyBorder="1" applyAlignment="1">
      <alignment horizontal="center" vertical="center" wrapText="1"/>
      <protection/>
    </xf>
    <xf numFmtId="0" fontId="23" fillId="0" borderId="0" xfId="46" applyFont="1" applyAlignment="1">
      <alignment horizontal="left" vertical="center" wrapText="1"/>
      <protection/>
    </xf>
    <xf numFmtId="0" fontId="23" fillId="0" borderId="0" xfId="46" applyFont="1" applyAlignment="1">
      <alignment horizontal="left" vertical="center" wrapText="1"/>
      <protection/>
    </xf>
    <xf numFmtId="0" fontId="24" fillId="0" borderId="11" xfId="46" applyFont="1" applyBorder="1" applyAlignment="1">
      <alignment horizontal="center" vertical="center" wrapText="1"/>
      <protection/>
    </xf>
    <xf numFmtId="49" fontId="55" fillId="0" borderId="10" xfId="46" applyNumberFormat="1" applyFont="1" applyFill="1" applyBorder="1" applyAlignment="1" applyProtection="1">
      <alignment horizontal="left" vertical="center" wrapText="1"/>
      <protection/>
    </xf>
    <xf numFmtId="0" fontId="55" fillId="0" borderId="10" xfId="0" applyFont="1" applyBorder="1" applyAlignment="1">
      <alignment horizontal="left" vertical="center" wrapText="1"/>
    </xf>
    <xf numFmtId="0" fontId="23" fillId="0" borderId="0" xfId="0" applyFont="1" applyAlignment="1">
      <alignment vertical="center"/>
    </xf>
    <xf numFmtId="0" fontId="24" fillId="0" borderId="10" xfId="46" applyFont="1" applyBorder="1" applyAlignment="1">
      <alignment horizontal="center" vertical="center"/>
      <protection/>
    </xf>
    <xf numFmtId="0" fontId="24" fillId="0" borderId="20" xfId="46" applyFont="1" applyBorder="1" applyAlignment="1">
      <alignment horizontal="center" vertical="center"/>
      <protection/>
    </xf>
    <xf numFmtId="0" fontId="24" fillId="0" borderId="19" xfId="46" applyFont="1" applyBorder="1" applyAlignment="1">
      <alignment horizontal="center" vertical="center"/>
      <protection/>
    </xf>
    <xf numFmtId="0" fontId="24" fillId="0" borderId="22" xfId="46" applyFont="1" applyBorder="1" applyAlignment="1">
      <alignment horizontal="center" vertical="center"/>
      <protection/>
    </xf>
    <xf numFmtId="0" fontId="25" fillId="24" borderId="0" xfId="0" applyFont="1" applyFill="1" applyAlignment="1">
      <alignment horizontal="center" vertical="top" wrapText="1"/>
    </xf>
    <xf numFmtId="0" fontId="25" fillId="24" borderId="0" xfId="0" applyFont="1" applyFill="1" applyBorder="1" applyAlignment="1">
      <alignment horizontal="center" vertical="top"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23" fillId="0" borderId="15" xfId="45" applyFont="1" applyFill="1" applyBorder="1" applyAlignment="1">
      <alignment vertical="center" wrapText="1"/>
      <protection/>
    </xf>
    <xf numFmtId="0" fontId="23" fillId="0" borderId="15" xfId="0" applyFont="1" applyBorder="1" applyAlignment="1">
      <alignment vertical="center" wrapText="1"/>
    </xf>
    <xf numFmtId="0" fontId="23" fillId="0" borderId="15" xfId="0" applyFont="1" applyBorder="1" applyAlignment="1">
      <alignment vertical="center"/>
    </xf>
    <xf numFmtId="0" fontId="24" fillId="0" borderId="20" xfId="46" applyFont="1" applyBorder="1" applyAlignment="1">
      <alignment horizontal="center" vertical="center" wrapText="1"/>
      <protection/>
    </xf>
    <xf numFmtId="0" fontId="24" fillId="0" borderId="22" xfId="46" applyFont="1" applyBorder="1" applyAlignment="1">
      <alignment horizontal="center" vertical="center"/>
      <protection/>
    </xf>
    <xf numFmtId="0" fontId="24" fillId="0" borderId="12" xfId="46" applyFont="1" applyBorder="1" applyAlignment="1">
      <alignment horizontal="center" vertical="center"/>
      <protection/>
    </xf>
    <xf numFmtId="0" fontId="33" fillId="0" borderId="0" xfId="46" applyFont="1" applyAlignment="1">
      <alignment vertical="center"/>
      <protection/>
    </xf>
    <xf numFmtId="0" fontId="33" fillId="0" borderId="0" xfId="0" applyFont="1" applyAlignment="1">
      <alignment vertical="center"/>
    </xf>
    <xf numFmtId="0" fontId="23" fillId="0" borderId="15" xfId="45" applyFont="1" applyFill="1" applyBorder="1" applyAlignment="1">
      <alignment vertical="center" wrapText="1"/>
      <protection/>
    </xf>
    <xf numFmtId="0" fontId="24" fillId="0" borderId="20" xfId="46" applyFont="1" applyBorder="1" applyAlignment="1">
      <alignment horizontal="center" vertical="center" wrapText="1"/>
      <protection/>
    </xf>
    <xf numFmtId="0" fontId="24" fillId="0" borderId="16" xfId="46" applyFont="1" applyBorder="1" applyAlignment="1">
      <alignment horizontal="center" vertical="center"/>
      <protection/>
    </xf>
    <xf numFmtId="0" fontId="24" fillId="0" borderId="10" xfId="46" applyFont="1" applyBorder="1" applyAlignment="1">
      <alignment horizontal="center" vertical="center"/>
      <protection/>
    </xf>
    <xf numFmtId="0" fontId="24" fillId="0" borderId="16" xfId="45" applyFont="1" applyFill="1" applyBorder="1" applyAlignment="1">
      <alignment horizontal="center" vertical="center" wrapText="1"/>
      <protection/>
    </xf>
    <xf numFmtId="0" fontId="23" fillId="0" borderId="2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49" fontId="55" fillId="0" borderId="10" xfId="46" applyNumberFormat="1" applyFont="1" applyFill="1" applyBorder="1" applyAlignment="1" applyProtection="1">
      <alignment horizontal="left" vertical="center"/>
      <protection/>
    </xf>
    <xf numFmtId="0" fontId="55" fillId="0" borderId="10" xfId="0" applyFont="1" applyBorder="1" applyAlignment="1">
      <alignment horizontal="left"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/>
    </xf>
    <xf numFmtId="0" fontId="54" fillId="0" borderId="16" xfId="46" applyFont="1" applyBorder="1" applyAlignment="1">
      <alignment horizontal="center" vertical="center" wrapText="1"/>
      <protection/>
    </xf>
    <xf numFmtId="0" fontId="54" fillId="0" borderId="16" xfId="46" applyFont="1" applyBorder="1" applyAlignment="1">
      <alignment horizontal="center" vertical="center"/>
      <protection/>
    </xf>
    <xf numFmtId="0" fontId="54" fillId="0" borderId="11" xfId="46" applyFont="1" applyBorder="1" applyAlignment="1">
      <alignment horizontal="center" vertical="center" wrapText="1"/>
      <protection/>
    </xf>
    <xf numFmtId="0" fontId="54" fillId="0" borderId="11" xfId="46" applyFont="1" applyBorder="1" applyAlignment="1">
      <alignment horizontal="center" vertical="center"/>
      <protection/>
    </xf>
  </cellXfs>
  <cellStyles count="5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全市中等职业技术学校学费标准情况表（教委）" xfId="40"/>
    <cellStyle name="差_全市中等职业技术学校学费标准情况表（教委） 2" xfId="41"/>
    <cellStyle name="常规 2" xfId="42"/>
    <cellStyle name="常规 2 2" xfId="43"/>
    <cellStyle name="常规 3" xfId="44"/>
    <cellStyle name="常规_复件 市级部门中职学校生均公用经费表" xfId="45"/>
    <cellStyle name="常规_高职计算表11.29" xfId="46"/>
    <cellStyle name="Hyperlink" xfId="47"/>
    <cellStyle name="好" xfId="48"/>
    <cellStyle name="好_全市中等职业技术学校学费标准情况表（教委）" xfId="49"/>
    <cellStyle name="好_全市中等职业技术学校学费标准情况表（教委） 2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适中" xfId="61"/>
    <cellStyle name="输出" xfId="62"/>
    <cellStyle name="输入" xfId="63"/>
    <cellStyle name="Followed Hyperlink" xfId="64"/>
    <cellStyle name="着色 1" xfId="65"/>
    <cellStyle name="着色 2" xfId="66"/>
    <cellStyle name="着色 3" xfId="67"/>
    <cellStyle name="着色 4" xfId="68"/>
    <cellStyle name="着色 5" xfId="69"/>
    <cellStyle name="着色 6" xfId="70"/>
    <cellStyle name="注释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E16" sqref="E16"/>
    </sheetView>
  </sheetViews>
  <sheetFormatPr defaultColWidth="9.00390625" defaultRowHeight="14.25"/>
  <cols>
    <col min="2" max="2" width="22.875" style="0" customWidth="1"/>
    <col min="3" max="3" width="15.125" style="0" customWidth="1"/>
    <col min="4" max="4" width="22.125" style="0" customWidth="1"/>
    <col min="5" max="5" width="33.25390625" style="0" customWidth="1"/>
  </cols>
  <sheetData>
    <row r="1" spans="1:5" ht="33.75" customHeight="1">
      <c r="A1" s="259" t="s">
        <v>217</v>
      </c>
      <c r="B1" s="259"/>
      <c r="C1" s="259"/>
      <c r="D1" s="259"/>
      <c r="E1" s="259"/>
    </row>
    <row r="2" spans="1:5" ht="24.75" customHeight="1">
      <c r="A2" s="174"/>
      <c r="B2" s="174"/>
      <c r="C2" s="174"/>
      <c r="D2" s="174"/>
      <c r="E2" s="175" t="s">
        <v>147</v>
      </c>
    </row>
    <row r="3" spans="1:5" s="260" customFormat="1" ht="15">
      <c r="A3" s="261" t="s">
        <v>19</v>
      </c>
      <c r="B3" s="262" t="s">
        <v>149</v>
      </c>
      <c r="C3" s="262" t="s">
        <v>146</v>
      </c>
      <c r="D3" s="262" t="s">
        <v>151</v>
      </c>
      <c r="E3" s="262" t="s">
        <v>152</v>
      </c>
    </row>
    <row r="4" spans="1:5" s="260" customFormat="1" ht="22.5" customHeight="1">
      <c r="A4" s="263"/>
      <c r="B4" s="264"/>
      <c r="C4" s="264"/>
      <c r="D4" s="264"/>
      <c r="E4" s="264"/>
    </row>
    <row r="5" spans="1:5" ht="30" customHeight="1">
      <c r="A5" s="176"/>
      <c r="B5" s="177" t="s">
        <v>150</v>
      </c>
      <c r="C5" s="178">
        <f>SUM(C6:C8)</f>
        <v>3843</v>
      </c>
      <c r="D5" s="178"/>
      <c r="E5" s="178"/>
    </row>
    <row r="6" spans="1:5" ht="49.5" customHeight="1">
      <c r="A6" s="179" t="s">
        <v>40</v>
      </c>
      <c r="B6" s="180" t="s">
        <v>41</v>
      </c>
      <c r="C6" s="181">
        <v>1534.22</v>
      </c>
      <c r="D6" s="182" t="s">
        <v>153</v>
      </c>
      <c r="E6" s="182" t="s">
        <v>219</v>
      </c>
    </row>
    <row r="7" spans="1:5" ht="49.5" customHeight="1">
      <c r="A7" s="179" t="s">
        <v>42</v>
      </c>
      <c r="B7" s="180" t="s">
        <v>43</v>
      </c>
      <c r="C7" s="181">
        <v>1414.91</v>
      </c>
      <c r="D7" s="182" t="s">
        <v>153</v>
      </c>
      <c r="E7" s="182" t="s">
        <v>218</v>
      </c>
    </row>
    <row r="8" spans="1:5" ht="30" customHeight="1">
      <c r="A8" s="179" t="s">
        <v>47</v>
      </c>
      <c r="B8" s="183" t="s">
        <v>148</v>
      </c>
      <c r="C8" s="181">
        <v>893.87</v>
      </c>
      <c r="D8" s="182" t="s">
        <v>153</v>
      </c>
      <c r="E8" s="183" t="s">
        <v>220</v>
      </c>
    </row>
    <row r="9" spans="1:5" ht="25.5" customHeight="1">
      <c r="A9" s="184"/>
      <c r="B9" s="174"/>
      <c r="C9" s="174"/>
      <c r="D9" s="174"/>
      <c r="E9" s="174"/>
    </row>
  </sheetData>
  <sheetProtection/>
  <mergeCells count="6">
    <mergeCell ref="A1:E1"/>
    <mergeCell ref="A3:A4"/>
    <mergeCell ref="B3:B4"/>
    <mergeCell ref="C3:C4"/>
    <mergeCell ref="D3:D4"/>
    <mergeCell ref="E3:E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A1" sqref="A1:E10"/>
    </sheetView>
  </sheetViews>
  <sheetFormatPr defaultColWidth="9.00390625" defaultRowHeight="14.25"/>
  <cols>
    <col min="2" max="2" width="23.25390625" style="0" customWidth="1"/>
    <col min="3" max="3" width="14.375" style="0" customWidth="1"/>
    <col min="4" max="4" width="20.625" style="0" customWidth="1"/>
    <col min="5" max="5" width="27.00390625" style="0" customWidth="1"/>
  </cols>
  <sheetData>
    <row r="1" spans="1:5" ht="48.75" customHeight="1">
      <c r="A1" s="189" t="s">
        <v>160</v>
      </c>
      <c r="B1" s="189"/>
      <c r="C1" s="189"/>
      <c r="D1" s="189"/>
      <c r="E1" s="189"/>
    </row>
    <row r="2" ht="21" customHeight="1">
      <c r="E2" s="113" t="s">
        <v>147</v>
      </c>
    </row>
    <row r="3" spans="1:5" ht="15">
      <c r="A3" s="185" t="s">
        <v>19</v>
      </c>
      <c r="B3" s="187" t="s">
        <v>149</v>
      </c>
      <c r="C3" s="187" t="s">
        <v>146</v>
      </c>
      <c r="D3" s="187" t="s">
        <v>151</v>
      </c>
      <c r="E3" s="187" t="s">
        <v>152</v>
      </c>
    </row>
    <row r="4" spans="1:5" ht="15">
      <c r="A4" s="186"/>
      <c r="B4" s="188"/>
      <c r="C4" s="188"/>
      <c r="D4" s="188"/>
      <c r="E4" s="188"/>
    </row>
    <row r="5" spans="1:5" ht="30" customHeight="1">
      <c r="A5" s="107"/>
      <c r="B5" s="114" t="s">
        <v>150</v>
      </c>
      <c r="C5" s="108">
        <f>SUM(C6:C9)</f>
        <v>2836.6499999999996</v>
      </c>
      <c r="D5" s="106"/>
      <c r="E5" s="106"/>
    </row>
    <row r="6" spans="1:5" ht="51" customHeight="1">
      <c r="A6" s="109" t="s">
        <v>40</v>
      </c>
      <c r="B6" s="110" t="s">
        <v>140</v>
      </c>
      <c r="C6" s="116">
        <v>1332.5</v>
      </c>
      <c r="D6" s="117" t="s">
        <v>153</v>
      </c>
      <c r="E6" s="117" t="s">
        <v>156</v>
      </c>
    </row>
    <row r="7" spans="1:5" ht="30" customHeight="1">
      <c r="A7" s="109" t="s">
        <v>42</v>
      </c>
      <c r="B7" s="110" t="s">
        <v>141</v>
      </c>
      <c r="C7" s="116">
        <v>689.62</v>
      </c>
      <c r="D7" s="117" t="s">
        <v>153</v>
      </c>
      <c r="E7" s="117" t="s">
        <v>154</v>
      </c>
    </row>
    <row r="8" spans="1:5" ht="30" customHeight="1">
      <c r="A8" s="109" t="s">
        <v>47</v>
      </c>
      <c r="B8" s="111" t="s">
        <v>148</v>
      </c>
      <c r="C8" s="116">
        <v>19.29</v>
      </c>
      <c r="D8" s="117" t="s">
        <v>153</v>
      </c>
      <c r="E8" s="115" t="s">
        <v>155</v>
      </c>
    </row>
    <row r="9" spans="1:5" ht="30" customHeight="1">
      <c r="A9" s="109">
        <v>4</v>
      </c>
      <c r="B9" s="112" t="s">
        <v>48</v>
      </c>
      <c r="C9" s="116">
        <v>795.24</v>
      </c>
      <c r="D9" s="117" t="s">
        <v>153</v>
      </c>
      <c r="E9" s="115" t="s">
        <v>155</v>
      </c>
    </row>
    <row r="10" spans="1:5" ht="15">
      <c r="A10" s="118" t="s">
        <v>157</v>
      </c>
      <c r="C10" s="119" t="s">
        <v>158</v>
      </c>
      <c r="D10" s="119"/>
      <c r="E10" s="119" t="s">
        <v>159</v>
      </c>
    </row>
  </sheetData>
  <sheetProtection/>
  <mergeCells count="6">
    <mergeCell ref="A3:A4"/>
    <mergeCell ref="B3:B4"/>
    <mergeCell ref="C3:C4"/>
    <mergeCell ref="D3:D4"/>
    <mergeCell ref="E3:E4"/>
    <mergeCell ref="A1:E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ignoredErrors>
    <ignoredError sqref="A6:A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A7">
      <selection activeCell="A17" sqref="A17"/>
    </sheetView>
  </sheetViews>
  <sheetFormatPr defaultColWidth="9.00390625" defaultRowHeight="14.25"/>
  <cols>
    <col min="1" max="1" width="4.625" style="0" bestFit="1" customWidth="1"/>
    <col min="2" max="2" width="22.00390625" style="0" bestFit="1" customWidth="1"/>
    <col min="3" max="3" width="13.125" style="0" bestFit="1" customWidth="1"/>
    <col min="4" max="4" width="12.875" style="0" customWidth="1"/>
    <col min="5" max="5" width="10.375" style="0" customWidth="1"/>
    <col min="6" max="6" width="12.875" style="0" customWidth="1"/>
    <col min="7" max="7" width="11.625" style="0" customWidth="1"/>
    <col min="8" max="8" width="26.00390625" style="0" customWidth="1"/>
    <col min="9" max="9" width="35.00390625" style="0" customWidth="1"/>
    <col min="10" max="10" width="26.75390625" style="0" customWidth="1"/>
  </cols>
  <sheetData>
    <row r="1" spans="1:8" ht="20.25">
      <c r="A1" s="203" t="s">
        <v>144</v>
      </c>
      <c r="B1" s="203"/>
      <c r="C1" s="203"/>
      <c r="D1" s="203"/>
      <c r="E1" s="203"/>
      <c r="F1" s="203"/>
      <c r="G1" s="203"/>
      <c r="H1" s="203"/>
    </row>
    <row r="2" spans="1:8" ht="15">
      <c r="A2" s="204" t="s">
        <v>92</v>
      </c>
      <c r="B2" s="205"/>
      <c r="C2" s="77"/>
      <c r="D2" s="77"/>
      <c r="E2" s="77"/>
      <c r="F2" s="77"/>
      <c r="G2" s="77"/>
      <c r="H2" s="87" t="s">
        <v>93</v>
      </c>
    </row>
    <row r="3" spans="1:10" ht="15">
      <c r="A3" s="206" t="s">
        <v>19</v>
      </c>
      <c r="B3" s="207" t="s">
        <v>16</v>
      </c>
      <c r="C3" s="208" t="s">
        <v>94</v>
      </c>
      <c r="D3" s="209" t="s">
        <v>96</v>
      </c>
      <c r="E3" s="190" t="s">
        <v>95</v>
      </c>
      <c r="F3" s="191" t="s">
        <v>97</v>
      </c>
      <c r="G3" s="193" t="s">
        <v>74</v>
      </c>
      <c r="H3" s="190" t="s">
        <v>14</v>
      </c>
      <c r="J3" s="195" t="s">
        <v>175</v>
      </c>
    </row>
    <row r="4" spans="1:10" ht="15">
      <c r="A4" s="194"/>
      <c r="B4" s="192"/>
      <c r="C4" s="196"/>
      <c r="D4" s="210"/>
      <c r="E4" s="190"/>
      <c r="F4" s="192"/>
      <c r="G4" s="194"/>
      <c r="H4" s="190"/>
      <c r="J4" s="196"/>
    </row>
    <row r="5" spans="1:8" ht="24.75" customHeight="1">
      <c r="A5" s="66"/>
      <c r="B5" s="70">
        <v>1</v>
      </c>
      <c r="C5" s="71">
        <v>2</v>
      </c>
      <c r="D5" s="88">
        <v>3</v>
      </c>
      <c r="E5" s="89" t="s">
        <v>86</v>
      </c>
      <c r="F5" s="72">
        <v>5</v>
      </c>
      <c r="G5" s="82" t="s">
        <v>88</v>
      </c>
      <c r="H5" s="5"/>
    </row>
    <row r="6" spans="1:10" ht="24.75" customHeight="1">
      <c r="A6" s="28"/>
      <c r="B6" s="7" t="s">
        <v>20</v>
      </c>
      <c r="C6" s="29">
        <f>SUM(C7:C10)</f>
        <v>26503</v>
      </c>
      <c r="D6" s="29">
        <f>SUM(D7:D10)</f>
        <v>30513</v>
      </c>
      <c r="E6" s="29">
        <f>SUM(E7:E10)</f>
        <v>4010</v>
      </c>
      <c r="F6" s="6"/>
      <c r="G6" s="31">
        <f>SUM(G7:G10)</f>
        <v>2836.6536403190717</v>
      </c>
      <c r="H6" s="36"/>
      <c r="J6" s="130">
        <f>SUM(J7:J13)</f>
        <v>20536.910000000003</v>
      </c>
    </row>
    <row r="7" spans="1:10" ht="41.25" customHeight="1">
      <c r="A7" s="78" t="s">
        <v>40</v>
      </c>
      <c r="B7" s="63" t="s">
        <v>140</v>
      </c>
      <c r="C7" s="64">
        <v>9600</v>
      </c>
      <c r="D7" s="95">
        <v>11225</v>
      </c>
      <c r="E7" s="64">
        <f>D7-C7</f>
        <v>1625</v>
      </c>
      <c r="F7" s="64">
        <v>8200</v>
      </c>
      <c r="G7" s="94">
        <f>E7*F7/10000</f>
        <v>1332.5</v>
      </c>
      <c r="H7" s="92" t="s">
        <v>133</v>
      </c>
      <c r="I7" s="98" t="s">
        <v>131</v>
      </c>
      <c r="J7" s="131">
        <f>C7*F7/10000</f>
        <v>7872</v>
      </c>
    </row>
    <row r="8" spans="1:10" ht="24.75" customHeight="1">
      <c r="A8" s="78" t="s">
        <v>42</v>
      </c>
      <c r="B8" s="63" t="s">
        <v>141</v>
      </c>
      <c r="C8" s="64">
        <v>9618</v>
      </c>
      <c r="D8" s="95">
        <v>10459</v>
      </c>
      <c r="E8" s="64">
        <f>D8-C8</f>
        <v>841</v>
      </c>
      <c r="F8" s="64">
        <v>8200</v>
      </c>
      <c r="G8" s="61">
        <f>E8*F8/10000</f>
        <v>689.62</v>
      </c>
      <c r="H8" s="92" t="s">
        <v>132</v>
      </c>
      <c r="J8" s="130">
        <f>C8*F8/10000</f>
        <v>7886.76</v>
      </c>
    </row>
    <row r="9" spans="1:10" ht="24.75" customHeight="1">
      <c r="A9" s="78" t="s">
        <v>47</v>
      </c>
      <c r="B9" s="76" t="s">
        <v>48</v>
      </c>
      <c r="C9" s="64">
        <v>3000</v>
      </c>
      <c r="D9" s="95">
        <v>4692</v>
      </c>
      <c r="E9" s="64">
        <f>D9-C9</f>
        <v>1692</v>
      </c>
      <c r="F9" s="64">
        <v>4700</v>
      </c>
      <c r="G9" s="61">
        <f>E9*F9/10000</f>
        <v>795.24</v>
      </c>
      <c r="H9" s="92" t="s">
        <v>134</v>
      </c>
      <c r="J9" s="131">
        <f>C9*F9/10000</f>
        <v>1410</v>
      </c>
    </row>
    <row r="10" spans="1:10" ht="24.75" customHeight="1">
      <c r="A10" s="197">
        <v>4</v>
      </c>
      <c r="B10" s="91" t="s">
        <v>142</v>
      </c>
      <c r="C10" s="64">
        <f>SUM(C11:C12)</f>
        <v>4285</v>
      </c>
      <c r="D10" s="95">
        <f>SUM(D11:D12)</f>
        <v>4137</v>
      </c>
      <c r="E10" s="64">
        <f>SUM(E11:E12)</f>
        <v>-148</v>
      </c>
      <c r="F10" s="64"/>
      <c r="G10" s="93">
        <f>G11+G12+G14</f>
        <v>19.293640319071798</v>
      </c>
      <c r="H10" s="92"/>
      <c r="J10" s="130"/>
    </row>
    <row r="11" spans="1:10" ht="24.75" customHeight="1">
      <c r="A11" s="198"/>
      <c r="B11" s="85" t="s">
        <v>145</v>
      </c>
      <c r="C11" s="51">
        <v>3679</v>
      </c>
      <c r="D11" s="96">
        <v>3807</v>
      </c>
      <c r="E11" s="64">
        <f>D11-C11</f>
        <v>128</v>
      </c>
      <c r="F11" s="64">
        <v>8600</v>
      </c>
      <c r="G11" s="61">
        <f>E11*F11/10000</f>
        <v>110.08</v>
      </c>
      <c r="H11" s="92" t="s">
        <v>135</v>
      </c>
      <c r="J11" s="130">
        <f>C11*F11/10000</f>
        <v>3163.94</v>
      </c>
    </row>
    <row r="12" spans="1:10" ht="24.75" customHeight="1">
      <c r="A12" s="198"/>
      <c r="B12" s="85" t="s">
        <v>91</v>
      </c>
      <c r="C12" s="51">
        <v>606</v>
      </c>
      <c r="D12" s="51">
        <v>330</v>
      </c>
      <c r="E12" s="64">
        <f>D12-C12</f>
        <v>-276</v>
      </c>
      <c r="F12" s="64">
        <v>1500</v>
      </c>
      <c r="G12" s="94">
        <f>E12*F12/10000</f>
        <v>-41.4</v>
      </c>
      <c r="H12" s="53" t="s">
        <v>46</v>
      </c>
      <c r="J12" s="132">
        <f>C12*F12/10000</f>
        <v>90.9</v>
      </c>
    </row>
    <row r="13" spans="1:10" ht="24.75" customHeight="1">
      <c r="A13" s="198"/>
      <c r="B13" s="84" t="s">
        <v>87</v>
      </c>
      <c r="C13" s="51" t="s">
        <v>137</v>
      </c>
      <c r="D13" s="86" t="s">
        <v>138</v>
      </c>
      <c r="E13" s="64"/>
      <c r="F13" s="64"/>
      <c r="G13" s="64"/>
      <c r="H13" s="53"/>
      <c r="J13" s="130">
        <v>113.31</v>
      </c>
    </row>
    <row r="14" spans="1:8" ht="57" customHeight="1">
      <c r="A14" s="198"/>
      <c r="B14" s="83"/>
      <c r="C14" s="51">
        <v>113.31</v>
      </c>
      <c r="D14" s="90">
        <f>D12/D10*801.37</f>
        <v>63.923640319071794</v>
      </c>
      <c r="E14" s="90"/>
      <c r="F14" s="79"/>
      <c r="G14" s="90">
        <f>D14-C14</f>
        <v>-49.38635968092821</v>
      </c>
      <c r="H14" s="92" t="s">
        <v>136</v>
      </c>
    </row>
    <row r="15" spans="1:17" ht="55.5" customHeight="1">
      <c r="A15" s="201" t="s">
        <v>143</v>
      </c>
      <c r="B15" s="202"/>
      <c r="C15" s="202"/>
      <c r="D15" s="202"/>
      <c r="E15" s="202"/>
      <c r="F15" s="202"/>
      <c r="G15" s="202"/>
      <c r="H15" s="202"/>
      <c r="I15" s="99"/>
      <c r="J15" s="99"/>
      <c r="K15" s="99"/>
      <c r="L15" s="99"/>
      <c r="M15" s="99"/>
      <c r="N15" s="99"/>
      <c r="O15" s="99"/>
      <c r="P15" s="99"/>
      <c r="Q15" s="97"/>
    </row>
    <row r="16" spans="1:8" ht="15.75" customHeight="1">
      <c r="A16" s="199" t="s">
        <v>139</v>
      </c>
      <c r="B16" s="200"/>
      <c r="C16" s="200"/>
      <c r="D16" s="200"/>
      <c r="E16" s="200"/>
      <c r="F16" s="200"/>
      <c r="G16" s="200"/>
      <c r="H16" s="200"/>
    </row>
    <row r="17" spans="1:9" ht="15">
      <c r="A17" s="167" t="s">
        <v>202</v>
      </c>
      <c r="B17" s="168"/>
      <c r="C17" s="168"/>
      <c r="D17" s="168"/>
      <c r="E17" s="168"/>
      <c r="F17" s="168"/>
      <c r="G17" s="168"/>
      <c r="H17" s="168"/>
      <c r="I17" s="168"/>
    </row>
  </sheetData>
  <sheetProtection/>
  <mergeCells count="14">
    <mergeCell ref="A16:H16"/>
    <mergeCell ref="A15:H15"/>
    <mergeCell ref="A1:H1"/>
    <mergeCell ref="A2:B2"/>
    <mergeCell ref="A3:A4"/>
    <mergeCell ref="B3:B4"/>
    <mergeCell ref="C3:C4"/>
    <mergeCell ref="D3:D4"/>
    <mergeCell ref="E3:E4"/>
    <mergeCell ref="F3:F4"/>
    <mergeCell ref="G3:G4"/>
    <mergeCell ref="H3:H4"/>
    <mergeCell ref="J3:J4"/>
    <mergeCell ref="A10:A1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ignoredErrors>
    <ignoredError sqref="G14 D14 G6" evalError="1"/>
    <ignoredError sqref="E10" formula="1"/>
    <ignoredError sqref="G10" evalError="1" formula="1"/>
    <ignoredError sqref="A7:A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O40"/>
  <sheetViews>
    <sheetView zoomScale="145" zoomScaleNormal="14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19" sqref="L19"/>
    </sheetView>
  </sheetViews>
  <sheetFormatPr defaultColWidth="9.00390625" defaultRowHeight="14.25"/>
  <cols>
    <col min="1" max="1" width="32.625" style="0" customWidth="1"/>
    <col min="2" max="2" width="12.00390625" style="0" hidden="1" customWidth="1"/>
    <col min="3" max="3" width="12.00390625" style="0" customWidth="1"/>
    <col min="4" max="4" width="12.00390625" style="0" hidden="1" customWidth="1"/>
    <col min="5" max="6" width="10.75390625" style="0" hidden="1" customWidth="1"/>
    <col min="7" max="7" width="11.625" style="0" customWidth="1"/>
    <col min="8" max="8" width="10.00390625" style="0" hidden="1" customWidth="1"/>
    <col min="9" max="9" width="12.25390625" style="0" customWidth="1"/>
    <col min="10" max="10" width="10.50390625" style="0" hidden="1" customWidth="1"/>
    <col min="11" max="11" width="20.50390625" style="0" hidden="1" customWidth="1"/>
  </cols>
  <sheetData>
    <row r="1" ht="15">
      <c r="A1" s="120" t="s">
        <v>161</v>
      </c>
    </row>
    <row r="2" spans="2:9" ht="15">
      <c r="B2" s="137" t="s">
        <v>98</v>
      </c>
      <c r="C2" s="137" t="s">
        <v>98</v>
      </c>
      <c r="D2" s="154" t="s">
        <v>198</v>
      </c>
      <c r="E2" s="211" t="s">
        <v>99</v>
      </c>
      <c r="F2" s="212"/>
      <c r="G2" s="212"/>
      <c r="H2" s="213" t="s">
        <v>100</v>
      </c>
      <c r="I2" s="213"/>
    </row>
    <row r="3" spans="2:10" ht="46.5">
      <c r="B3" s="136" t="s">
        <v>177</v>
      </c>
      <c r="C3" s="159" t="s">
        <v>201</v>
      </c>
      <c r="D3" s="160" t="s">
        <v>199</v>
      </c>
      <c r="E3" s="161" t="s">
        <v>178</v>
      </c>
      <c r="F3" s="161" t="s">
        <v>179</v>
      </c>
      <c r="G3" s="159" t="s">
        <v>201</v>
      </c>
      <c r="H3" s="162" t="s">
        <v>177</v>
      </c>
      <c r="I3" s="159" t="s">
        <v>201</v>
      </c>
      <c r="J3" s="151" t="s">
        <v>196</v>
      </c>
    </row>
    <row r="4" spans="1:15" ht="15">
      <c r="A4" s="120" t="s">
        <v>166</v>
      </c>
      <c r="B4" s="125">
        <f>B15+B19+B20+B21+B22+B23+B24+B25+B26+B27+B28+B29+B32+B33+B35+B36+B37+B34</f>
        <v>21804.31</v>
      </c>
      <c r="C4" s="125">
        <f>C15+C19+C20+C21+C22+C23+C24+C25+C26+C27+C28+C29+C32+C33+C35+C36+C37+C34</f>
        <v>21777.460000000003</v>
      </c>
      <c r="D4" s="125">
        <f>D15+D19+D20+D21+D22+D23+D24+D25+D26+D27+D28+D29+D32+D33+D35+D36+D37+D34</f>
        <v>15703.669999999998</v>
      </c>
      <c r="E4" s="104">
        <f>E9+E11+E14+E19+E20+E21+E22+E23+E24+E25+E26+E27+E28+E29+E32+E33+E35+E36+E37+E34</f>
        <v>18921.329999999998</v>
      </c>
      <c r="F4" s="104">
        <v>19660.98</v>
      </c>
      <c r="G4" s="157">
        <v>19589.5</v>
      </c>
      <c r="H4" s="104">
        <f>H9+H11+H14+H19+H20+H21+H22+H23+H24+H25+H26+H27+H28+H29+H32+H33+H35+H36+H37</f>
        <v>10124.080000000002</v>
      </c>
      <c r="I4" s="104">
        <f>I9+I11+I14+I19+I20+I21+I22+I23+I24+I25+I26+I27+I28+I29+I32+I33+I35+I36+I37</f>
        <v>10108.150000000001</v>
      </c>
      <c r="L4" s="101" t="s">
        <v>98</v>
      </c>
      <c r="M4" s="101" t="s">
        <v>99</v>
      </c>
      <c r="N4" s="100" t="s">
        <v>100</v>
      </c>
      <c r="O4" s="129" t="s">
        <v>174</v>
      </c>
    </row>
    <row r="5" spans="1:11" ht="15">
      <c r="A5" s="120" t="s">
        <v>162</v>
      </c>
      <c r="B5">
        <v>12300</v>
      </c>
      <c r="C5">
        <v>12300</v>
      </c>
      <c r="D5">
        <v>9618</v>
      </c>
      <c r="E5">
        <v>11444</v>
      </c>
      <c r="F5">
        <v>12064</v>
      </c>
      <c r="G5">
        <v>12064</v>
      </c>
      <c r="H5">
        <v>3992</v>
      </c>
      <c r="I5">
        <v>3992</v>
      </c>
      <c r="K5" s="127" t="s">
        <v>172</v>
      </c>
    </row>
    <row r="6" spans="1:14" ht="15">
      <c r="A6" s="127" t="s">
        <v>163</v>
      </c>
      <c r="B6">
        <v>50</v>
      </c>
      <c r="C6">
        <v>50</v>
      </c>
      <c r="E6">
        <v>181</v>
      </c>
      <c r="F6">
        <v>181</v>
      </c>
      <c r="G6">
        <v>181</v>
      </c>
      <c r="H6">
        <v>5005</v>
      </c>
      <c r="I6">
        <v>5005</v>
      </c>
      <c r="L6">
        <v>50</v>
      </c>
      <c r="M6">
        <v>181</v>
      </c>
      <c r="N6">
        <v>5005</v>
      </c>
    </row>
    <row r="7" spans="1:9" ht="15">
      <c r="A7" s="100" t="s">
        <v>104</v>
      </c>
      <c r="H7">
        <v>397</v>
      </c>
      <c r="I7">
        <v>397</v>
      </c>
    </row>
    <row r="8" spans="1:14" ht="15">
      <c r="A8" s="103" t="s">
        <v>123</v>
      </c>
      <c r="B8">
        <v>8200</v>
      </c>
      <c r="C8">
        <v>8200</v>
      </c>
      <c r="D8">
        <v>8200</v>
      </c>
      <c r="E8">
        <v>8200</v>
      </c>
      <c r="F8">
        <v>8200</v>
      </c>
      <c r="G8">
        <v>8200</v>
      </c>
      <c r="H8">
        <v>8600</v>
      </c>
      <c r="I8">
        <v>8600</v>
      </c>
      <c r="L8">
        <v>8200</v>
      </c>
      <c r="M8">
        <v>8200</v>
      </c>
      <c r="N8">
        <v>8600</v>
      </c>
    </row>
    <row r="9" spans="1:15" ht="15">
      <c r="A9" s="103" t="s">
        <v>122</v>
      </c>
      <c r="B9">
        <f aca="true" t="shared" si="0" ref="B9:I9">B5*B8/10000+B6*B8/2/10000</f>
        <v>10106.5</v>
      </c>
      <c r="C9">
        <f t="shared" si="0"/>
        <v>10106.5</v>
      </c>
      <c r="D9">
        <f t="shared" si="0"/>
        <v>7886.76</v>
      </c>
      <c r="E9">
        <f t="shared" si="0"/>
        <v>9458.289999999999</v>
      </c>
      <c r="F9">
        <f t="shared" si="0"/>
        <v>9966.689999999999</v>
      </c>
      <c r="G9">
        <f t="shared" si="0"/>
        <v>9966.689999999999</v>
      </c>
      <c r="H9">
        <f t="shared" si="0"/>
        <v>5585.27</v>
      </c>
      <c r="I9">
        <f t="shared" si="0"/>
        <v>5585.27</v>
      </c>
      <c r="K9" s="128" t="s">
        <v>173</v>
      </c>
      <c r="L9">
        <f>L6*L8*50%/10000</f>
        <v>20.5</v>
      </c>
      <c r="M9">
        <f>M6*M8*50%/10000</f>
        <v>74.21</v>
      </c>
      <c r="N9">
        <f>N6*N8*50%/10000</f>
        <v>2152.15</v>
      </c>
      <c r="O9" s="126">
        <f>SUM(L9:N9)</f>
        <v>2246.86</v>
      </c>
    </row>
    <row r="10" spans="1:15" ht="15">
      <c r="A10" s="103" t="s">
        <v>124</v>
      </c>
      <c r="H10">
        <v>1500</v>
      </c>
      <c r="I10">
        <v>1500</v>
      </c>
      <c r="K10" s="120" t="s">
        <v>167</v>
      </c>
      <c r="N10">
        <f>N9-N11</f>
        <v>1275.15</v>
      </c>
      <c r="O10" s="126">
        <f>SUM(L10:N10)</f>
        <v>1275.15</v>
      </c>
    </row>
    <row r="11" spans="1:15" ht="15">
      <c r="A11" s="103" t="s">
        <v>125</v>
      </c>
      <c r="H11">
        <f>H10*H7/10000</f>
        <v>59.55</v>
      </c>
      <c r="I11">
        <f>I10*I7/10000</f>
        <v>59.55</v>
      </c>
      <c r="K11" s="120" t="s">
        <v>168</v>
      </c>
      <c r="L11">
        <v>20.5</v>
      </c>
      <c r="M11">
        <v>74.21</v>
      </c>
      <c r="N11">
        <v>877</v>
      </c>
      <c r="O11" s="126">
        <f>SUM(L11:N11)</f>
        <v>971.71</v>
      </c>
    </row>
    <row r="12" spans="1:11" ht="15">
      <c r="A12" s="103" t="s">
        <v>127</v>
      </c>
      <c r="H12">
        <v>832.85</v>
      </c>
      <c r="I12">
        <v>832.85</v>
      </c>
      <c r="J12">
        <v>832.85</v>
      </c>
      <c r="K12" s="103"/>
    </row>
    <row r="13" spans="1:11" ht="15">
      <c r="A13" s="103" t="s">
        <v>128</v>
      </c>
      <c r="H13">
        <v>29.67</v>
      </c>
      <c r="I13">
        <v>29.67</v>
      </c>
      <c r="J13">
        <v>29.67</v>
      </c>
      <c r="K13" s="103"/>
    </row>
    <row r="14" spans="1:10" ht="15">
      <c r="A14" s="120" t="s">
        <v>164</v>
      </c>
      <c r="H14" s="105">
        <v>78.06</v>
      </c>
      <c r="I14" s="105">
        <v>78.06</v>
      </c>
      <c r="J14" s="105">
        <f>(J12+J13)*H7/(H5+H7)</f>
        <v>78.0178719526088</v>
      </c>
    </row>
    <row r="15" spans="1:10" ht="15">
      <c r="A15" s="120" t="s">
        <v>165</v>
      </c>
      <c r="B15" s="122">
        <f aca="true" t="shared" si="1" ref="B15:I15">B9+B11+B14</f>
        <v>10106.5</v>
      </c>
      <c r="C15" s="122">
        <f t="shared" si="1"/>
        <v>10106.5</v>
      </c>
      <c r="D15" s="121">
        <f t="shared" si="1"/>
        <v>7886.76</v>
      </c>
      <c r="E15" s="121">
        <f t="shared" si="1"/>
        <v>9458.289999999999</v>
      </c>
      <c r="F15" s="121">
        <f t="shared" si="1"/>
        <v>9966.689999999999</v>
      </c>
      <c r="G15" s="158">
        <f t="shared" si="1"/>
        <v>9966.689999999999</v>
      </c>
      <c r="H15" s="121">
        <f t="shared" si="1"/>
        <v>5722.880000000001</v>
      </c>
      <c r="I15" s="158">
        <f t="shared" si="1"/>
        <v>5722.880000000001</v>
      </c>
      <c r="J15" s="121">
        <f>SUM(J16:J17)</f>
        <v>25796.07</v>
      </c>
    </row>
    <row r="16" spans="1:11" ht="26.25" customHeight="1">
      <c r="A16" s="120" t="s">
        <v>167</v>
      </c>
      <c r="B16" s="122">
        <v>7732.7</v>
      </c>
      <c r="C16" s="122">
        <v>7732.7</v>
      </c>
      <c r="D16" s="121">
        <v>4860.31</v>
      </c>
      <c r="E16" s="121">
        <v>7128.91</v>
      </c>
      <c r="F16" s="121">
        <v>7138.91</v>
      </c>
      <c r="G16" s="158">
        <v>6979.04</v>
      </c>
      <c r="H16" s="121">
        <v>4845.88</v>
      </c>
      <c r="I16" s="158">
        <v>4845.88</v>
      </c>
      <c r="J16" s="124">
        <f>B16+F16+H16</f>
        <v>19717.49</v>
      </c>
      <c r="K16" s="155" t="s">
        <v>200</v>
      </c>
    </row>
    <row r="17" spans="1:10" ht="15">
      <c r="A17" s="120" t="s">
        <v>168</v>
      </c>
      <c r="B17" s="122">
        <v>2373.8</v>
      </c>
      <c r="C17" s="122">
        <v>2373.8</v>
      </c>
      <c r="D17" s="121">
        <v>3026.45</v>
      </c>
      <c r="E17" s="121">
        <v>2329.38</v>
      </c>
      <c r="F17" s="121">
        <v>2827.78</v>
      </c>
      <c r="G17" s="158">
        <v>2987.65</v>
      </c>
      <c r="H17" s="123">
        <v>877</v>
      </c>
      <c r="I17" s="123">
        <v>877</v>
      </c>
      <c r="J17" s="124">
        <f>B17+F17+H17</f>
        <v>6078.58</v>
      </c>
    </row>
    <row r="18" spans="11:12" ht="15">
      <c r="K18" s="103"/>
      <c r="L18" s="105"/>
    </row>
    <row r="19" spans="1:9" ht="15">
      <c r="A19" s="103" t="s">
        <v>105</v>
      </c>
      <c r="B19">
        <v>198.16</v>
      </c>
      <c r="C19">
        <v>193.44</v>
      </c>
      <c r="D19">
        <v>186.96</v>
      </c>
      <c r="E19">
        <v>234.61</v>
      </c>
      <c r="F19">
        <v>234.61</v>
      </c>
      <c r="G19">
        <v>222.04</v>
      </c>
      <c r="H19">
        <v>130.6</v>
      </c>
      <c r="I19">
        <v>127.8</v>
      </c>
    </row>
    <row r="20" spans="1:9" ht="15">
      <c r="A20" s="103" t="s">
        <v>106</v>
      </c>
      <c r="B20">
        <v>37.16</v>
      </c>
      <c r="C20">
        <v>36.27</v>
      </c>
      <c r="D20">
        <v>41.36</v>
      </c>
      <c r="E20">
        <v>43.99</v>
      </c>
      <c r="F20">
        <v>43.99</v>
      </c>
      <c r="G20">
        <v>41.63</v>
      </c>
      <c r="H20">
        <v>24.49</v>
      </c>
      <c r="I20">
        <v>23.96</v>
      </c>
    </row>
    <row r="21" spans="1:9" ht="15">
      <c r="A21" s="103" t="s">
        <v>107</v>
      </c>
      <c r="B21">
        <v>396.32</v>
      </c>
      <c r="C21">
        <v>386.88</v>
      </c>
      <c r="D21">
        <v>467.41</v>
      </c>
      <c r="E21">
        <v>469.21</v>
      </c>
      <c r="F21">
        <v>469.21</v>
      </c>
      <c r="G21">
        <v>444.08</v>
      </c>
      <c r="H21">
        <v>261.2</v>
      </c>
      <c r="I21">
        <v>255.6</v>
      </c>
    </row>
    <row r="22" spans="1:9" ht="15">
      <c r="A22" s="103" t="s">
        <v>108</v>
      </c>
      <c r="B22">
        <v>198.16</v>
      </c>
      <c r="C22">
        <v>193.44</v>
      </c>
      <c r="D22">
        <v>186.96</v>
      </c>
      <c r="E22">
        <v>234.61</v>
      </c>
      <c r="F22">
        <v>234.61</v>
      </c>
      <c r="G22">
        <v>222.04</v>
      </c>
      <c r="H22">
        <v>130.6</v>
      </c>
      <c r="I22">
        <v>127.8</v>
      </c>
    </row>
    <row r="23" spans="1:9" ht="15">
      <c r="A23" s="103" t="s">
        <v>110</v>
      </c>
      <c r="B23">
        <v>297.24</v>
      </c>
      <c r="C23">
        <v>290.16</v>
      </c>
      <c r="D23">
        <v>280.45</v>
      </c>
      <c r="E23">
        <v>351.91</v>
      </c>
      <c r="F23">
        <v>351.91</v>
      </c>
      <c r="G23">
        <v>333.06</v>
      </c>
      <c r="H23">
        <v>195.9</v>
      </c>
      <c r="I23">
        <v>191.7</v>
      </c>
    </row>
    <row r="24" spans="1:9" ht="15">
      <c r="A24" s="103" t="s">
        <v>109</v>
      </c>
      <c r="B24">
        <v>0.77</v>
      </c>
      <c r="C24">
        <v>0.77</v>
      </c>
      <c r="D24">
        <v>3.98</v>
      </c>
      <c r="E24">
        <v>4.06</v>
      </c>
      <c r="F24">
        <v>4.06</v>
      </c>
      <c r="G24">
        <v>4.06</v>
      </c>
      <c r="H24">
        <v>4.46</v>
      </c>
      <c r="I24">
        <v>4.46</v>
      </c>
    </row>
    <row r="25" spans="1:7" ht="15">
      <c r="A25" s="103" t="s">
        <v>116</v>
      </c>
      <c r="D25">
        <v>17.43</v>
      </c>
      <c r="E25">
        <v>20.25</v>
      </c>
      <c r="F25">
        <v>20.25</v>
      </c>
      <c r="G25">
        <v>20.25</v>
      </c>
    </row>
    <row r="26" spans="1:7" ht="15">
      <c r="A26" s="103" t="s">
        <v>117</v>
      </c>
      <c r="D26">
        <v>16.84</v>
      </c>
      <c r="E26">
        <v>16.84</v>
      </c>
      <c r="F26">
        <v>16.84</v>
      </c>
      <c r="G26">
        <v>16.84</v>
      </c>
    </row>
    <row r="27" spans="1:7" ht="15">
      <c r="A27" s="103" t="s">
        <v>118</v>
      </c>
      <c r="D27">
        <v>32.59</v>
      </c>
      <c r="E27">
        <v>38.35</v>
      </c>
      <c r="F27">
        <v>38.35</v>
      </c>
      <c r="G27">
        <v>38.35</v>
      </c>
    </row>
    <row r="28" spans="1:7" ht="15">
      <c r="A28" s="103" t="s">
        <v>119</v>
      </c>
      <c r="D28">
        <v>9.33</v>
      </c>
      <c r="E28">
        <v>12.66</v>
      </c>
      <c r="F28">
        <v>12.66</v>
      </c>
      <c r="G28">
        <v>12.66</v>
      </c>
    </row>
    <row r="29" spans="1:7" ht="15">
      <c r="A29" s="103" t="s">
        <v>120</v>
      </c>
      <c r="D29">
        <v>1.6</v>
      </c>
      <c r="E29">
        <v>2</v>
      </c>
      <c r="F29">
        <v>2</v>
      </c>
      <c r="G29">
        <v>2</v>
      </c>
    </row>
    <row r="30" ht="15">
      <c r="A30" s="156"/>
    </row>
    <row r="31" ht="15">
      <c r="A31" s="103"/>
    </row>
    <row r="32" spans="1:8" ht="15">
      <c r="A32" s="103" t="s">
        <v>111</v>
      </c>
      <c r="B32">
        <v>150</v>
      </c>
      <c r="C32">
        <v>150</v>
      </c>
      <c r="D32">
        <v>130</v>
      </c>
      <c r="H32">
        <v>0</v>
      </c>
    </row>
    <row r="33" spans="1:9" ht="15">
      <c r="A33" s="120" t="s">
        <v>170</v>
      </c>
      <c r="B33">
        <v>6347.53</v>
      </c>
      <c r="C33">
        <v>6347.53</v>
      </c>
      <c r="D33">
        <v>3976.29</v>
      </c>
      <c r="E33">
        <v>6019.22</v>
      </c>
      <c r="F33">
        <v>6049.22</v>
      </c>
      <c r="G33">
        <v>6209.09</v>
      </c>
      <c r="H33">
        <v>3218</v>
      </c>
      <c r="I33">
        <v>3218</v>
      </c>
    </row>
    <row r="34" spans="1:7" ht="15">
      <c r="A34" s="120" t="s">
        <v>171</v>
      </c>
      <c r="B34">
        <v>3387.47</v>
      </c>
      <c r="C34">
        <v>3387.47</v>
      </c>
      <c r="D34">
        <v>2015.71</v>
      </c>
      <c r="E34">
        <v>1493.78</v>
      </c>
      <c r="F34">
        <v>1695.03</v>
      </c>
      <c r="G34">
        <v>1535.16</v>
      </c>
    </row>
    <row r="35" spans="1:9" ht="15">
      <c r="A35" s="103" t="s">
        <v>113</v>
      </c>
      <c r="B35">
        <v>550</v>
      </c>
      <c r="C35">
        <v>550</v>
      </c>
      <c r="D35">
        <v>300</v>
      </c>
      <c r="E35">
        <v>400</v>
      </c>
      <c r="F35">
        <v>400</v>
      </c>
      <c r="G35">
        <v>400</v>
      </c>
      <c r="H35">
        <v>150</v>
      </c>
      <c r="I35">
        <v>150</v>
      </c>
    </row>
    <row r="36" spans="1:9" ht="15">
      <c r="A36" s="103" t="s">
        <v>114</v>
      </c>
      <c r="B36">
        <v>135</v>
      </c>
      <c r="C36">
        <v>135</v>
      </c>
      <c r="D36">
        <v>150</v>
      </c>
      <c r="E36">
        <v>121.55</v>
      </c>
      <c r="F36">
        <v>121.55</v>
      </c>
      <c r="G36">
        <v>121.55</v>
      </c>
      <c r="H36">
        <v>85</v>
      </c>
      <c r="I36">
        <v>85</v>
      </c>
    </row>
    <row r="37" spans="1:9" ht="15">
      <c r="A37" s="103" t="s">
        <v>121</v>
      </c>
      <c r="H37">
        <v>200.95</v>
      </c>
      <c r="I37">
        <v>200.95</v>
      </c>
    </row>
    <row r="39" spans="1:10" ht="15">
      <c r="A39" s="120" t="s">
        <v>169</v>
      </c>
      <c r="B39" s="124">
        <f>B33+B35+B24+B23+B22+B21+B20+B19+B16</f>
        <v>15758.039999999999</v>
      </c>
      <c r="C39" s="124">
        <f>C33+C35+C24+C23+C22+C21+C20+C19+C16</f>
        <v>15731.189999999999</v>
      </c>
      <c r="D39" s="124">
        <f>D16+D19+D20+D21+D22+D23+D24+D25+D26+D27+D28+D29+D32+D35+D30+D33</f>
        <v>10511.51</v>
      </c>
      <c r="E39" s="124">
        <f>E16+E19+E20+E21+E22+E23+E24+E25+E26+E27+E33+E29+E28</f>
        <v>14576.619999999999</v>
      </c>
      <c r="F39" s="124">
        <f>F16+F19+F20+F21+F22+F23+F24+F25+F26+F27+F33+F29+F28</f>
        <v>14616.619999999999</v>
      </c>
      <c r="G39" s="124">
        <f>G16+G19+G20+G21+G22+G23+G24+G25+G26+G27+G33+G29+G28</f>
        <v>14545.14</v>
      </c>
      <c r="H39" s="124">
        <f>H16+H19+H20+H21+H22+H23+H24+H25+H26+H27+H28+H29+H33+H35+H37</f>
        <v>9162.080000000002</v>
      </c>
      <c r="I39" s="124">
        <f>I16+I19+I20+I21+I22+I23+I24+I25+I26+I27+I28+I29+I33+I35+I37</f>
        <v>9146.150000000001</v>
      </c>
      <c r="J39" s="124">
        <f>SUM(B39:H39)</f>
        <v>94901.2</v>
      </c>
    </row>
    <row r="40" spans="1:9" ht="15">
      <c r="A40" s="135" t="s">
        <v>176</v>
      </c>
      <c r="B40" s="124">
        <f>B4-B39</f>
        <v>6046.270000000002</v>
      </c>
      <c r="C40" s="124">
        <f>C4-C39</f>
        <v>6046.270000000004</v>
      </c>
      <c r="D40" s="124">
        <f>D17+D34+D36</f>
        <v>5192.16</v>
      </c>
      <c r="E40" s="124">
        <f>E4-E39</f>
        <v>4344.709999999999</v>
      </c>
      <c r="F40" s="124">
        <f>F4-F39</f>
        <v>5044.360000000001</v>
      </c>
      <c r="G40" s="124">
        <f>G4-G39</f>
        <v>5044.360000000001</v>
      </c>
      <c r="H40" s="124">
        <f>H4-H39</f>
        <v>962</v>
      </c>
      <c r="I40" s="124">
        <f>I4-I39</f>
        <v>962</v>
      </c>
    </row>
  </sheetData>
  <sheetProtection/>
  <mergeCells count="2">
    <mergeCell ref="E2:G2"/>
    <mergeCell ref="H2:I2"/>
  </mergeCells>
  <printOptions/>
  <pageMargins left="0.7" right="0.7" top="0.75" bottom="0.75" header="0.3" footer="0.3"/>
  <pageSetup horizontalDpi="600" verticalDpi="600" orientation="portrait" paperSize="9" r:id="rId1"/>
  <ignoredErrors>
    <ignoredError sqref="D4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9">
      <selection activeCell="B41" sqref="B41"/>
    </sheetView>
  </sheetViews>
  <sheetFormatPr defaultColWidth="9.00390625" defaultRowHeight="14.25"/>
  <cols>
    <col min="1" max="1" width="27.875" style="0" customWidth="1"/>
    <col min="6" max="6" width="24.625" style="0" customWidth="1"/>
    <col min="10" max="10" width="11.25390625" style="0" customWidth="1"/>
  </cols>
  <sheetData>
    <row r="1" ht="15">
      <c r="A1" s="103" t="s">
        <v>126</v>
      </c>
    </row>
    <row r="2" spans="2:5" ht="15">
      <c r="B2" s="101" t="s">
        <v>98</v>
      </c>
      <c r="C2" s="101" t="s">
        <v>99</v>
      </c>
      <c r="D2" s="100" t="s">
        <v>100</v>
      </c>
      <c r="E2" s="103" t="s">
        <v>195</v>
      </c>
    </row>
    <row r="4" spans="1:4" ht="15">
      <c r="A4" s="103" t="s">
        <v>115</v>
      </c>
      <c r="B4" s="104">
        <f>SUM(B8+B11+B16+B17+B18+B19+B20+B21+B28+B32+B29+B35)</f>
        <v>20627.910000000003</v>
      </c>
      <c r="C4" s="104">
        <f>SUM(C8+C11+C16+C17+C18+C19+C20+C21+C28+C32+C29+C35+C22+C23+C24+C25+C26)</f>
        <v>17482.790000000005</v>
      </c>
      <c r="D4" s="104">
        <f>SUM(D8+D11+D16+D17+D18+D19+D20+D21+D28+D32+D29+D35+D36+D10)</f>
        <v>7788.73</v>
      </c>
    </row>
    <row r="5" spans="1:4" ht="15">
      <c r="A5" s="103" t="s">
        <v>103</v>
      </c>
      <c r="B5">
        <v>11000</v>
      </c>
      <c r="C5">
        <v>10466</v>
      </c>
      <c r="D5">
        <v>3694</v>
      </c>
    </row>
    <row r="6" spans="1:4" ht="15">
      <c r="A6" s="100" t="s">
        <v>104</v>
      </c>
      <c r="D6">
        <v>332</v>
      </c>
    </row>
    <row r="7" spans="1:4" ht="15">
      <c r="A7" s="103" t="s">
        <v>123</v>
      </c>
      <c r="B7">
        <v>8200</v>
      </c>
      <c r="C7">
        <v>8200</v>
      </c>
      <c r="D7">
        <v>8600</v>
      </c>
    </row>
    <row r="8" spans="1:4" ht="15">
      <c r="A8" s="103" t="s">
        <v>122</v>
      </c>
      <c r="B8">
        <f>B5*B7/10000</f>
        <v>9020</v>
      </c>
      <c r="C8">
        <f>C5*C7/10000</f>
        <v>8582.12</v>
      </c>
      <c r="D8">
        <f>D5*D7/10000</f>
        <v>3176.84</v>
      </c>
    </row>
    <row r="9" spans="1:4" ht="15">
      <c r="A9" s="103" t="s">
        <v>124</v>
      </c>
      <c r="D9">
        <v>1500</v>
      </c>
    </row>
    <row r="10" spans="1:7" ht="15">
      <c r="A10" s="103" t="s">
        <v>125</v>
      </c>
      <c r="D10">
        <f>D9*D6/10000</f>
        <v>49.8</v>
      </c>
      <c r="F10" s="103" t="s">
        <v>127</v>
      </c>
      <c r="G10">
        <v>814.73</v>
      </c>
    </row>
    <row r="11" spans="1:11" ht="17.25">
      <c r="A11" t="s">
        <v>102</v>
      </c>
      <c r="D11">
        <v>69.65</v>
      </c>
      <c r="F11" s="103" t="s">
        <v>128</v>
      </c>
      <c r="G11">
        <v>29.55</v>
      </c>
      <c r="I11" s="152">
        <v>2021</v>
      </c>
      <c r="J11" s="152">
        <v>2020</v>
      </c>
      <c r="K11" s="152" t="s">
        <v>197</v>
      </c>
    </row>
    <row r="12" spans="1:11" ht="17.25">
      <c r="A12" s="120" t="s">
        <v>165</v>
      </c>
      <c r="B12" s="150">
        <f>SUM(B13:B14)</f>
        <v>9020</v>
      </c>
      <c r="C12" s="150">
        <f>SUM(C13:C14)</f>
        <v>8582.12</v>
      </c>
      <c r="D12" s="150">
        <f>SUM(D13:D14)</f>
        <v>3296.29</v>
      </c>
      <c r="E12">
        <f>SUM(E13:E14)</f>
        <v>20898.410000000003</v>
      </c>
      <c r="F12" s="103"/>
      <c r="I12" s="153">
        <f>SUM(I13:I14)</f>
        <v>25796.07</v>
      </c>
      <c r="J12" s="153">
        <f>SUM(J13:J14)</f>
        <v>20898.410000000003</v>
      </c>
      <c r="K12" s="153">
        <f>SUM(K13:K14)</f>
        <v>4897.66</v>
      </c>
    </row>
    <row r="13" spans="1:11" ht="17.25">
      <c r="A13" s="120" t="s">
        <v>167</v>
      </c>
      <c r="B13">
        <v>6990.42</v>
      </c>
      <c r="C13">
        <v>4970.6</v>
      </c>
      <c r="D13">
        <v>3296.29</v>
      </c>
      <c r="E13">
        <f>SUM(B13:D13)</f>
        <v>15257.310000000001</v>
      </c>
      <c r="F13" s="103"/>
      <c r="I13" s="152">
        <v>19717.49</v>
      </c>
      <c r="J13" s="152">
        <v>15257.310000000001</v>
      </c>
      <c r="K13" s="152">
        <f>I13-J13</f>
        <v>4460.18</v>
      </c>
    </row>
    <row r="14" spans="1:11" ht="17.25">
      <c r="A14" s="120" t="s">
        <v>168</v>
      </c>
      <c r="B14">
        <v>2029.58</v>
      </c>
      <c r="C14">
        <v>3611.52</v>
      </c>
      <c r="D14">
        <v>0</v>
      </c>
      <c r="E14">
        <f>SUM(B14:D14)</f>
        <v>5641.1</v>
      </c>
      <c r="F14" s="103"/>
      <c r="I14" s="152">
        <v>6078.58</v>
      </c>
      <c r="J14" s="152">
        <v>5641.1</v>
      </c>
      <c r="K14" s="152">
        <f>I14-J14</f>
        <v>437.47999999999956</v>
      </c>
    </row>
    <row r="15" spans="6:7" ht="15">
      <c r="F15" s="103" t="s">
        <v>129</v>
      </c>
      <c r="G15" s="105">
        <f>(G10+G11)*D6/(D5+D6)</f>
        <v>69.62269249875807</v>
      </c>
    </row>
    <row r="16" spans="1:4" ht="15">
      <c r="A16" s="103" t="s">
        <v>105</v>
      </c>
      <c r="B16">
        <v>185.45</v>
      </c>
      <c r="C16">
        <v>228.26</v>
      </c>
      <c r="D16">
        <v>123.54</v>
      </c>
    </row>
    <row r="17" spans="1:4" ht="15">
      <c r="A17" s="103" t="s">
        <v>106</v>
      </c>
      <c r="B17">
        <v>37.17</v>
      </c>
      <c r="C17">
        <v>50.11</v>
      </c>
      <c r="D17">
        <v>29.46</v>
      </c>
    </row>
    <row r="18" spans="1:4" ht="15">
      <c r="A18" s="103" t="s">
        <v>107</v>
      </c>
      <c r="B18">
        <v>370.9</v>
      </c>
      <c r="C18">
        <v>456.52</v>
      </c>
      <c r="D18">
        <v>247.08</v>
      </c>
    </row>
    <row r="19" spans="1:4" ht="15">
      <c r="A19" s="103" t="s">
        <v>108</v>
      </c>
      <c r="B19">
        <v>185.45</v>
      </c>
      <c r="C19">
        <v>228.26</v>
      </c>
      <c r="D19">
        <v>123.54</v>
      </c>
    </row>
    <row r="20" spans="1:4" ht="15">
      <c r="A20" s="103" t="s">
        <v>110</v>
      </c>
      <c r="B20">
        <v>278.17</v>
      </c>
      <c r="C20">
        <v>342.39</v>
      </c>
      <c r="D20">
        <v>185.31</v>
      </c>
    </row>
    <row r="21" spans="1:4" ht="15">
      <c r="A21" s="103" t="s">
        <v>109</v>
      </c>
      <c r="B21">
        <v>0.77</v>
      </c>
      <c r="C21">
        <v>2.07</v>
      </c>
      <c r="D21">
        <v>4.63</v>
      </c>
    </row>
    <row r="22" spans="1:3" ht="15">
      <c r="A22" s="103" t="s">
        <v>116</v>
      </c>
      <c r="C22">
        <v>20.25</v>
      </c>
    </row>
    <row r="23" spans="1:3" ht="15">
      <c r="A23" s="103" t="s">
        <v>117</v>
      </c>
      <c r="C23">
        <v>16.84</v>
      </c>
    </row>
    <row r="24" spans="1:3" ht="15">
      <c r="A24" s="103" t="s">
        <v>118</v>
      </c>
      <c r="C24">
        <v>39.13</v>
      </c>
    </row>
    <row r="25" spans="1:3" ht="15">
      <c r="A25" s="103" t="s">
        <v>119</v>
      </c>
      <c r="C25">
        <v>10.84</v>
      </c>
    </row>
    <row r="26" spans="1:3" ht="15">
      <c r="A26" s="103" t="s">
        <v>120</v>
      </c>
      <c r="C26">
        <v>2</v>
      </c>
    </row>
    <row r="27" ht="15">
      <c r="A27" s="103"/>
    </row>
    <row r="28" spans="1:2" ht="15">
      <c r="A28" s="103" t="s">
        <v>111</v>
      </c>
      <c r="B28">
        <v>600</v>
      </c>
    </row>
    <row r="29" spans="1:4" ht="15">
      <c r="A29" s="103" t="s">
        <v>112</v>
      </c>
      <c r="B29">
        <v>9390</v>
      </c>
      <c r="C29">
        <v>6861</v>
      </c>
      <c r="D29">
        <v>3247.1</v>
      </c>
    </row>
    <row r="30" spans="1:4" ht="15">
      <c r="A30" s="149" t="s">
        <v>170</v>
      </c>
      <c r="B30">
        <v>5794.82</v>
      </c>
      <c r="C30">
        <v>5020.36</v>
      </c>
      <c r="D30">
        <v>3247.1</v>
      </c>
    </row>
    <row r="31" spans="1:3" ht="15">
      <c r="A31" s="149" t="s">
        <v>171</v>
      </c>
      <c r="B31">
        <v>3595.18</v>
      </c>
      <c r="C31">
        <v>1840.64</v>
      </c>
    </row>
    <row r="32" spans="1:4" ht="15">
      <c r="A32" s="103" t="s">
        <v>113</v>
      </c>
      <c r="B32">
        <v>400</v>
      </c>
      <c r="C32">
        <v>500</v>
      </c>
      <c r="D32">
        <v>100</v>
      </c>
    </row>
    <row r="33" spans="1:4" ht="15">
      <c r="A33" s="103" t="s">
        <v>193</v>
      </c>
      <c r="D33">
        <v>100</v>
      </c>
    </row>
    <row r="34" spans="1:3" ht="15">
      <c r="A34" s="103" t="s">
        <v>194</v>
      </c>
      <c r="B34">
        <v>400</v>
      </c>
      <c r="C34">
        <v>500</v>
      </c>
    </row>
    <row r="35" spans="1:4" ht="15">
      <c r="A35" s="103" t="s">
        <v>114</v>
      </c>
      <c r="B35">
        <v>160</v>
      </c>
      <c r="C35">
        <v>143</v>
      </c>
      <c r="D35">
        <v>100</v>
      </c>
    </row>
    <row r="36" spans="1:4" ht="15">
      <c r="A36" s="103" t="s">
        <v>121</v>
      </c>
      <c r="D36">
        <v>331.78</v>
      </c>
    </row>
    <row r="38" spans="1:4" ht="15">
      <c r="A38" s="103" t="s">
        <v>191</v>
      </c>
      <c r="B38">
        <f>B4-B39</f>
        <v>13843.150000000003</v>
      </c>
      <c r="C38">
        <f>C4-C39</f>
        <v>11387.630000000005</v>
      </c>
      <c r="D38">
        <f>D4-D39</f>
        <v>7688.73</v>
      </c>
    </row>
    <row r="39" spans="1:4" ht="15">
      <c r="A39" s="103" t="s">
        <v>192</v>
      </c>
      <c r="B39">
        <v>6784.76</v>
      </c>
      <c r="C39">
        <f>C14+C31+C34+C35</f>
        <v>6095.16</v>
      </c>
      <c r="D39">
        <v>100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zoomScalePageLayoutView="0" workbookViewId="0" topLeftCell="A1">
      <selection activeCell="G7" sqref="G7"/>
    </sheetView>
  </sheetViews>
  <sheetFormatPr defaultColWidth="9.00390625" defaultRowHeight="14.25"/>
  <cols>
    <col min="1" max="1" width="5.00390625" style="0" bestFit="1" customWidth="1"/>
    <col min="2" max="2" width="27.125" style="0" customWidth="1"/>
    <col min="3" max="3" width="13.50390625" style="0" bestFit="1" customWidth="1"/>
    <col min="4" max="4" width="14.125" style="0" customWidth="1"/>
    <col min="5" max="6" width="8.50390625" style="0" bestFit="1" customWidth="1"/>
    <col min="7" max="7" width="9.00390625" style="0" customWidth="1"/>
    <col min="8" max="8" width="14.625" style="0" customWidth="1"/>
  </cols>
  <sheetData>
    <row r="1" spans="1:8" ht="20.25">
      <c r="A1" s="203" t="s">
        <v>190</v>
      </c>
      <c r="B1" s="203"/>
      <c r="C1" s="203"/>
      <c r="D1" s="203"/>
      <c r="E1" s="203"/>
      <c r="F1" s="203"/>
      <c r="G1" s="203"/>
      <c r="H1" s="203"/>
    </row>
    <row r="2" spans="1:8" ht="15">
      <c r="A2" s="204" t="s">
        <v>92</v>
      </c>
      <c r="B2" s="205"/>
      <c r="C2" s="77"/>
      <c r="D2" s="77"/>
      <c r="E2" s="77"/>
      <c r="F2" s="77"/>
      <c r="G2" s="77"/>
      <c r="H2" s="87" t="s">
        <v>93</v>
      </c>
    </row>
    <row r="3" spans="1:8" ht="15">
      <c r="A3" s="206" t="s">
        <v>19</v>
      </c>
      <c r="B3" s="207" t="s">
        <v>16</v>
      </c>
      <c r="C3" s="208" t="s">
        <v>83</v>
      </c>
      <c r="D3" s="221" t="s">
        <v>181</v>
      </c>
      <c r="E3" s="190" t="s">
        <v>23</v>
      </c>
      <c r="F3" s="222" t="s">
        <v>183</v>
      </c>
      <c r="G3" s="222" t="s">
        <v>182</v>
      </c>
      <c r="H3" s="190" t="s">
        <v>14</v>
      </c>
    </row>
    <row r="4" spans="1:8" ht="42" customHeight="1">
      <c r="A4" s="194"/>
      <c r="B4" s="192"/>
      <c r="C4" s="196"/>
      <c r="D4" s="210"/>
      <c r="E4" s="190"/>
      <c r="F4" s="192"/>
      <c r="G4" s="194"/>
      <c r="H4" s="190"/>
    </row>
    <row r="5" spans="1:8" ht="15">
      <c r="A5" s="66"/>
      <c r="B5" s="70">
        <v>1</v>
      </c>
      <c r="C5" s="71">
        <v>2</v>
      </c>
      <c r="D5" s="88">
        <v>3</v>
      </c>
      <c r="E5" s="89" t="s">
        <v>86</v>
      </c>
      <c r="F5" s="72">
        <v>5</v>
      </c>
      <c r="G5" s="82" t="s">
        <v>88</v>
      </c>
      <c r="H5" s="5"/>
    </row>
    <row r="6" spans="1:8" ht="15">
      <c r="A6" s="28"/>
      <c r="B6" s="7" t="s">
        <v>20</v>
      </c>
      <c r="C6" s="29"/>
      <c r="D6" s="29"/>
      <c r="E6" s="29"/>
      <c r="F6" s="6"/>
      <c r="G6" s="29">
        <f>G7+G20</f>
        <v>4110.91</v>
      </c>
      <c r="H6" s="36"/>
    </row>
    <row r="7" spans="1:8" ht="15">
      <c r="A7" s="28"/>
      <c r="B7" s="142" t="s">
        <v>180</v>
      </c>
      <c r="C7" s="143"/>
      <c r="D7" s="143"/>
      <c r="E7" s="143"/>
      <c r="F7" s="143"/>
      <c r="G7" s="145">
        <f>SUM(G9:G19)</f>
        <v>4897.66</v>
      </c>
      <c r="H7" s="36"/>
    </row>
    <row r="8" spans="1:8" ht="15">
      <c r="A8" s="134" t="s">
        <v>40</v>
      </c>
      <c r="B8" s="101" t="s">
        <v>41</v>
      </c>
      <c r="G8" s="64"/>
      <c r="H8" s="92"/>
    </row>
    <row r="9" spans="1:8" ht="15">
      <c r="A9" s="134"/>
      <c r="B9" s="138" t="s">
        <v>184</v>
      </c>
      <c r="C9" s="64">
        <v>11000</v>
      </c>
      <c r="D9" s="64">
        <v>12300</v>
      </c>
      <c r="E9" s="64">
        <f>D9-C9</f>
        <v>1300</v>
      </c>
      <c r="F9" s="64">
        <v>8200</v>
      </c>
      <c r="G9" s="64">
        <f>E9*F9/10000</f>
        <v>1066</v>
      </c>
      <c r="H9" s="92"/>
    </row>
    <row r="10" spans="1:8" ht="15">
      <c r="A10" s="134"/>
      <c r="B10" s="138" t="s">
        <v>185</v>
      </c>
      <c r="C10" s="64"/>
      <c r="D10" s="64">
        <v>50</v>
      </c>
      <c r="E10" s="64">
        <f>D10-C10</f>
        <v>50</v>
      </c>
      <c r="F10" s="64">
        <v>4100</v>
      </c>
      <c r="G10" s="64">
        <f>E10*F10/10000</f>
        <v>20.5</v>
      </c>
      <c r="H10" s="92"/>
    </row>
    <row r="11" spans="1:8" ht="15">
      <c r="A11" s="134" t="s">
        <v>42</v>
      </c>
      <c r="B11" s="101" t="s">
        <v>43</v>
      </c>
      <c r="H11" s="92"/>
    </row>
    <row r="12" spans="1:8" ht="15">
      <c r="A12" s="134"/>
      <c r="B12" s="138" t="s">
        <v>184</v>
      </c>
      <c r="C12" s="64">
        <v>10466</v>
      </c>
      <c r="D12" s="64">
        <v>12064</v>
      </c>
      <c r="E12" s="64">
        <f>D12-C12</f>
        <v>1598</v>
      </c>
      <c r="F12" s="64">
        <v>8200</v>
      </c>
      <c r="G12" s="64">
        <f>E12*F12/10000</f>
        <v>1310.36</v>
      </c>
      <c r="H12" s="92"/>
    </row>
    <row r="13" spans="1:8" ht="15">
      <c r="A13" s="134"/>
      <c r="B13" s="138" t="s">
        <v>185</v>
      </c>
      <c r="C13" s="64"/>
      <c r="D13" s="64">
        <v>181</v>
      </c>
      <c r="E13" s="64">
        <f>D13-C13</f>
        <v>181</v>
      </c>
      <c r="F13" s="64">
        <v>4100</v>
      </c>
      <c r="G13" s="64">
        <f>E13*F13/10000</f>
        <v>74.21</v>
      </c>
      <c r="H13" s="92"/>
    </row>
    <row r="14" spans="1:8" ht="15">
      <c r="A14" s="217" t="s">
        <v>47</v>
      </c>
      <c r="B14" s="134" t="s">
        <v>89</v>
      </c>
      <c r="C14" s="64"/>
      <c r="D14" s="64"/>
      <c r="E14" s="64"/>
      <c r="F14" s="64"/>
      <c r="G14" s="64"/>
      <c r="H14" s="92"/>
    </row>
    <row r="15" spans="1:8" ht="15">
      <c r="A15" s="198"/>
      <c r="B15" s="85" t="s">
        <v>90</v>
      </c>
      <c r="D15" s="133"/>
      <c r="H15" s="92"/>
    </row>
    <row r="16" spans="1:8" ht="15">
      <c r="A16" s="198"/>
      <c r="B16" s="138" t="s">
        <v>184</v>
      </c>
      <c r="C16" s="133">
        <v>3694</v>
      </c>
      <c r="D16" s="133">
        <v>3992</v>
      </c>
      <c r="E16" s="64">
        <f>D16-C16</f>
        <v>298</v>
      </c>
      <c r="F16" s="64">
        <v>8600</v>
      </c>
      <c r="G16" s="64">
        <f>E16*F16/10000</f>
        <v>256.28</v>
      </c>
      <c r="H16" s="92"/>
    </row>
    <row r="17" spans="1:8" ht="15">
      <c r="A17" s="198"/>
      <c r="B17" s="138" t="s">
        <v>186</v>
      </c>
      <c r="C17" s="133"/>
      <c r="D17" s="133">
        <v>5005</v>
      </c>
      <c r="E17" s="64">
        <f>D17-C17</f>
        <v>5005</v>
      </c>
      <c r="F17" s="64">
        <v>4300</v>
      </c>
      <c r="G17" s="64">
        <f>E17*F17/10000</f>
        <v>2152.15</v>
      </c>
      <c r="H17" s="92"/>
    </row>
    <row r="18" spans="1:8" ht="15">
      <c r="A18" s="198"/>
      <c r="B18" s="85" t="s">
        <v>91</v>
      </c>
      <c r="C18" s="133">
        <v>332</v>
      </c>
      <c r="D18" s="133">
        <v>397</v>
      </c>
      <c r="E18" s="64">
        <f>D18-C18</f>
        <v>65</v>
      </c>
      <c r="F18" s="64">
        <v>1500</v>
      </c>
      <c r="G18" s="64">
        <f>E18*F18/10000</f>
        <v>9.75</v>
      </c>
      <c r="H18" s="53" t="s">
        <v>46</v>
      </c>
    </row>
    <row r="19" spans="1:8" ht="59.25">
      <c r="A19" s="198"/>
      <c r="B19" s="102" t="s">
        <v>87</v>
      </c>
      <c r="C19" s="133">
        <v>69.65</v>
      </c>
      <c r="D19" s="86">
        <v>78.06</v>
      </c>
      <c r="E19" s="64"/>
      <c r="F19" s="64"/>
      <c r="G19" s="61">
        <f>D19-C19</f>
        <v>8.409999999999997</v>
      </c>
      <c r="H19" s="92" t="s">
        <v>130</v>
      </c>
    </row>
    <row r="20" spans="2:7" ht="15">
      <c r="B20" s="144" t="s">
        <v>187</v>
      </c>
      <c r="C20" s="144"/>
      <c r="D20" s="144"/>
      <c r="E20" s="144"/>
      <c r="F20" s="144"/>
      <c r="G20" s="146">
        <f>SUM(G22:G45)</f>
        <v>-786.75</v>
      </c>
    </row>
    <row r="21" spans="1:8" ht="15">
      <c r="A21" s="218">
        <v>1</v>
      </c>
      <c r="B21" s="56" t="s">
        <v>4</v>
      </c>
      <c r="C21" s="106"/>
      <c r="D21" s="106"/>
      <c r="E21" s="106"/>
      <c r="F21" s="106"/>
      <c r="G21" s="106"/>
      <c r="H21" s="106"/>
    </row>
    <row r="22" spans="1:8" ht="15">
      <c r="A22" s="219"/>
      <c r="B22" s="141" t="s">
        <v>188</v>
      </c>
      <c r="C22" s="147">
        <v>2500</v>
      </c>
      <c r="D22" s="147">
        <v>2420</v>
      </c>
      <c r="E22" s="148">
        <f aca="true" t="shared" si="0" ref="E22:E45">D22-C22</f>
        <v>-80</v>
      </c>
      <c r="F22" s="147">
        <v>1500</v>
      </c>
      <c r="G22" s="148">
        <f aca="true" t="shared" si="1" ref="G22:G45">E22*F22/10000</f>
        <v>-12</v>
      </c>
      <c r="H22" s="106"/>
    </row>
    <row r="23" spans="1:8" ht="15">
      <c r="A23" s="220"/>
      <c r="B23" s="141" t="s">
        <v>189</v>
      </c>
      <c r="C23" s="147">
        <v>167</v>
      </c>
      <c r="D23" s="147">
        <v>136</v>
      </c>
      <c r="E23" s="148">
        <f t="shared" si="0"/>
        <v>-31</v>
      </c>
      <c r="F23" s="147">
        <v>6000</v>
      </c>
      <c r="G23" s="148">
        <f t="shared" si="1"/>
        <v>-18.6</v>
      </c>
      <c r="H23" s="106"/>
    </row>
    <row r="24" spans="1:8" ht="15">
      <c r="A24" s="140">
        <v>2</v>
      </c>
      <c r="B24" s="56" t="s">
        <v>1</v>
      </c>
      <c r="C24" s="147">
        <v>7100</v>
      </c>
      <c r="D24" s="147">
        <v>6800</v>
      </c>
      <c r="E24" s="148">
        <f t="shared" si="0"/>
        <v>-300</v>
      </c>
      <c r="F24" s="147">
        <v>1500</v>
      </c>
      <c r="G24" s="148">
        <f t="shared" si="1"/>
        <v>-45</v>
      </c>
      <c r="H24" s="106"/>
    </row>
    <row r="25" spans="1:8" ht="15">
      <c r="A25" s="140">
        <v>3</v>
      </c>
      <c r="B25" s="56" t="s">
        <v>2</v>
      </c>
      <c r="C25" s="147">
        <v>7155</v>
      </c>
      <c r="D25" s="147">
        <v>7047</v>
      </c>
      <c r="E25" s="148">
        <f t="shared" si="0"/>
        <v>-108</v>
      </c>
      <c r="F25" s="147">
        <v>1500</v>
      </c>
      <c r="G25" s="148">
        <f t="shared" si="1"/>
        <v>-16.2</v>
      </c>
      <c r="H25" s="106"/>
    </row>
    <row r="26" spans="1:8" ht="15">
      <c r="A26" s="140">
        <v>4</v>
      </c>
      <c r="B26" s="56" t="s">
        <v>3</v>
      </c>
      <c r="C26" s="147">
        <v>5800</v>
      </c>
      <c r="D26" s="147">
        <v>6000</v>
      </c>
      <c r="E26" s="148">
        <f t="shared" si="0"/>
        <v>200</v>
      </c>
      <c r="F26" s="147">
        <v>1500</v>
      </c>
      <c r="G26" s="148">
        <f t="shared" si="1"/>
        <v>30</v>
      </c>
      <c r="H26" s="106"/>
    </row>
    <row r="27" spans="1:8" ht="15">
      <c r="A27" s="218">
        <v>5</v>
      </c>
      <c r="B27" s="56" t="s">
        <v>13</v>
      </c>
      <c r="C27" s="147"/>
      <c r="D27" s="147"/>
      <c r="E27" s="148"/>
      <c r="F27" s="147"/>
      <c r="G27" s="148"/>
      <c r="H27" s="106"/>
    </row>
    <row r="28" spans="1:8" ht="15">
      <c r="A28" s="219"/>
      <c r="B28" s="141" t="s">
        <v>188</v>
      </c>
      <c r="C28" s="147">
        <v>1430</v>
      </c>
      <c r="D28" s="147">
        <v>1400</v>
      </c>
      <c r="E28" s="148">
        <f t="shared" si="0"/>
        <v>-30</v>
      </c>
      <c r="F28" s="147">
        <v>1500</v>
      </c>
      <c r="G28" s="148">
        <f t="shared" si="1"/>
        <v>-4.5</v>
      </c>
      <c r="H28" s="106"/>
    </row>
    <row r="29" spans="1:8" ht="15">
      <c r="A29" s="220"/>
      <c r="B29" s="141" t="s">
        <v>189</v>
      </c>
      <c r="C29" s="147"/>
      <c r="D29" s="147">
        <v>292</v>
      </c>
      <c r="E29" s="148">
        <f t="shared" si="0"/>
        <v>292</v>
      </c>
      <c r="F29" s="147">
        <v>6000</v>
      </c>
      <c r="G29" s="148">
        <f t="shared" si="1"/>
        <v>175.2</v>
      </c>
      <c r="H29" s="106"/>
    </row>
    <row r="30" spans="1:8" ht="15">
      <c r="A30" s="218">
        <v>6</v>
      </c>
      <c r="B30" s="56" t="s">
        <v>5</v>
      </c>
      <c r="C30" s="147"/>
      <c r="D30" s="147"/>
      <c r="E30" s="148"/>
      <c r="F30" s="147"/>
      <c r="G30" s="148"/>
      <c r="H30" s="106"/>
    </row>
    <row r="31" spans="1:8" ht="15">
      <c r="A31" s="219"/>
      <c r="B31" s="141" t="s">
        <v>188</v>
      </c>
      <c r="C31" s="147">
        <v>5036</v>
      </c>
      <c r="D31" s="147">
        <v>4622</v>
      </c>
      <c r="E31" s="148">
        <f t="shared" si="0"/>
        <v>-414</v>
      </c>
      <c r="F31" s="147">
        <v>1500</v>
      </c>
      <c r="G31" s="148">
        <f t="shared" si="1"/>
        <v>-62.1</v>
      </c>
      <c r="H31" s="106"/>
    </row>
    <row r="32" spans="1:8" ht="15">
      <c r="A32" s="220"/>
      <c r="B32" s="141" t="s">
        <v>189</v>
      </c>
      <c r="C32" s="147">
        <v>663</v>
      </c>
      <c r="D32" s="147">
        <v>930</v>
      </c>
      <c r="E32" s="148">
        <f t="shared" si="0"/>
        <v>267</v>
      </c>
      <c r="F32" s="147">
        <v>6000</v>
      </c>
      <c r="G32" s="148">
        <f t="shared" si="1"/>
        <v>160.2</v>
      </c>
      <c r="H32" s="106"/>
    </row>
    <row r="33" spans="1:8" ht="15">
      <c r="A33" s="214">
        <v>7</v>
      </c>
      <c r="B33" s="56" t="s">
        <v>6</v>
      </c>
      <c r="C33" s="147"/>
      <c r="D33" s="147"/>
      <c r="E33" s="148"/>
      <c r="F33" s="147"/>
      <c r="G33" s="148"/>
      <c r="H33" s="106"/>
    </row>
    <row r="34" spans="1:8" ht="15">
      <c r="A34" s="215"/>
      <c r="B34" s="141" t="s">
        <v>188</v>
      </c>
      <c r="C34" s="147">
        <v>9000</v>
      </c>
      <c r="D34" s="147">
        <v>9500</v>
      </c>
      <c r="E34" s="148">
        <f t="shared" si="0"/>
        <v>500</v>
      </c>
      <c r="F34" s="147">
        <v>1500</v>
      </c>
      <c r="G34" s="148">
        <f t="shared" si="1"/>
        <v>75</v>
      </c>
      <c r="H34" s="106"/>
    </row>
    <row r="35" spans="1:8" ht="15">
      <c r="A35" s="216"/>
      <c r="B35" s="141" t="s">
        <v>189</v>
      </c>
      <c r="C35" s="147">
        <v>1053</v>
      </c>
      <c r="D35" s="147">
        <v>1626</v>
      </c>
      <c r="E35" s="148">
        <f t="shared" si="0"/>
        <v>573</v>
      </c>
      <c r="F35" s="147">
        <v>6000</v>
      </c>
      <c r="G35" s="148">
        <f t="shared" si="1"/>
        <v>343.8</v>
      </c>
      <c r="H35" s="106"/>
    </row>
    <row r="36" spans="1:8" ht="15">
      <c r="A36" s="214">
        <v>8</v>
      </c>
      <c r="B36" s="56" t="s">
        <v>7</v>
      </c>
      <c r="C36" s="147"/>
      <c r="D36" s="147"/>
      <c r="E36" s="148"/>
      <c r="F36" s="147"/>
      <c r="G36" s="148"/>
      <c r="H36" s="106"/>
    </row>
    <row r="37" spans="1:8" ht="15">
      <c r="A37" s="215"/>
      <c r="B37" s="141" t="s">
        <v>188</v>
      </c>
      <c r="C37" s="147">
        <v>4363</v>
      </c>
      <c r="D37" s="147">
        <v>4589</v>
      </c>
      <c r="E37" s="148">
        <f t="shared" si="0"/>
        <v>226</v>
      </c>
      <c r="F37" s="147">
        <v>1500</v>
      </c>
      <c r="G37" s="148">
        <f t="shared" si="1"/>
        <v>33.9</v>
      </c>
      <c r="H37" s="106"/>
    </row>
    <row r="38" spans="1:8" ht="15">
      <c r="A38" s="216"/>
      <c r="B38" s="141" t="s">
        <v>189</v>
      </c>
      <c r="C38" s="147">
        <v>466</v>
      </c>
      <c r="D38" s="147">
        <v>584</v>
      </c>
      <c r="E38" s="148">
        <f t="shared" si="0"/>
        <v>118</v>
      </c>
      <c r="F38" s="147">
        <v>6000</v>
      </c>
      <c r="G38" s="148">
        <f t="shared" si="1"/>
        <v>70.8</v>
      </c>
      <c r="H38" s="106"/>
    </row>
    <row r="39" spans="1:8" ht="15">
      <c r="A39" s="214">
        <v>9</v>
      </c>
      <c r="B39" s="56" t="s">
        <v>8</v>
      </c>
      <c r="C39" s="147"/>
      <c r="D39" s="147"/>
      <c r="E39" s="148"/>
      <c r="F39" s="147"/>
      <c r="G39" s="148"/>
      <c r="H39" s="106"/>
    </row>
    <row r="40" spans="1:8" ht="15">
      <c r="A40" s="215"/>
      <c r="B40" s="141" t="s">
        <v>188</v>
      </c>
      <c r="C40" s="147">
        <v>5190</v>
      </c>
      <c r="D40" s="147">
        <v>4573</v>
      </c>
      <c r="E40" s="148">
        <f t="shared" si="0"/>
        <v>-617</v>
      </c>
      <c r="F40" s="147">
        <v>1500</v>
      </c>
      <c r="G40" s="148">
        <f t="shared" si="1"/>
        <v>-92.55</v>
      </c>
      <c r="H40" s="106"/>
    </row>
    <row r="41" spans="1:8" ht="15">
      <c r="A41" s="216"/>
      <c r="B41" s="141" t="s">
        <v>189</v>
      </c>
      <c r="C41" s="147">
        <v>770</v>
      </c>
      <c r="D41" s="147">
        <v>253</v>
      </c>
      <c r="E41" s="148">
        <f t="shared" si="0"/>
        <v>-517</v>
      </c>
      <c r="F41" s="147">
        <v>6000</v>
      </c>
      <c r="G41" s="148">
        <f t="shared" si="1"/>
        <v>-310.2</v>
      </c>
      <c r="H41" s="106"/>
    </row>
    <row r="42" spans="1:8" ht="15">
      <c r="A42" s="214">
        <v>10</v>
      </c>
      <c r="B42" s="56" t="s">
        <v>18</v>
      </c>
      <c r="C42" s="147"/>
      <c r="D42" s="147"/>
      <c r="E42" s="148"/>
      <c r="F42" s="147"/>
      <c r="G42" s="148"/>
      <c r="H42" s="106"/>
    </row>
    <row r="43" spans="1:8" ht="15">
      <c r="A43" s="215"/>
      <c r="B43" s="141" t="s">
        <v>188</v>
      </c>
      <c r="C43" s="147">
        <v>10123</v>
      </c>
      <c r="D43" s="147">
        <v>8363</v>
      </c>
      <c r="E43" s="148">
        <f t="shared" si="0"/>
        <v>-1760</v>
      </c>
      <c r="F43" s="147">
        <v>1500</v>
      </c>
      <c r="G43" s="148">
        <f t="shared" si="1"/>
        <v>-264</v>
      </c>
      <c r="H43" s="106"/>
    </row>
    <row r="44" spans="1:8" ht="15">
      <c r="A44" s="216"/>
      <c r="B44" s="141" t="s">
        <v>189</v>
      </c>
      <c r="C44" s="147">
        <v>2293</v>
      </c>
      <c r="D44" s="147">
        <v>788</v>
      </c>
      <c r="E44" s="148">
        <f t="shared" si="0"/>
        <v>-1505</v>
      </c>
      <c r="F44" s="147">
        <v>6000</v>
      </c>
      <c r="G44" s="148">
        <f t="shared" si="1"/>
        <v>-903</v>
      </c>
      <c r="H44" s="106"/>
    </row>
    <row r="45" spans="1:8" ht="15">
      <c r="A45" s="139">
        <v>11</v>
      </c>
      <c r="B45" s="57" t="s">
        <v>15</v>
      </c>
      <c r="C45" s="147">
        <v>1100</v>
      </c>
      <c r="D45" s="147">
        <v>1450</v>
      </c>
      <c r="E45" s="148">
        <f t="shared" si="0"/>
        <v>350</v>
      </c>
      <c r="F45" s="147">
        <v>1500</v>
      </c>
      <c r="G45" s="148">
        <f t="shared" si="1"/>
        <v>52.5</v>
      </c>
      <c r="H45" s="106"/>
    </row>
  </sheetData>
  <sheetProtection/>
  <mergeCells count="18">
    <mergeCell ref="A1:H1"/>
    <mergeCell ref="A2:B2"/>
    <mergeCell ref="A3:A4"/>
    <mergeCell ref="B3:B4"/>
    <mergeCell ref="C3:C4"/>
    <mergeCell ref="D3:D4"/>
    <mergeCell ref="E3:E4"/>
    <mergeCell ref="F3:F4"/>
    <mergeCell ref="G3:G4"/>
    <mergeCell ref="H3:H4"/>
    <mergeCell ref="A33:A35"/>
    <mergeCell ref="A36:A38"/>
    <mergeCell ref="A39:A41"/>
    <mergeCell ref="A42:A44"/>
    <mergeCell ref="A14:A19"/>
    <mergeCell ref="A21:A23"/>
    <mergeCell ref="A27:A29"/>
    <mergeCell ref="A30:A32"/>
  </mergeCells>
  <printOptions/>
  <pageMargins left="0.7" right="0.7" top="0.75" bottom="0.75" header="0.3" footer="0.3"/>
  <pageSetup fitToHeight="0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zoomScalePageLayoutView="0" workbookViewId="0" topLeftCell="A1">
      <selection activeCell="I6" sqref="I6"/>
    </sheetView>
  </sheetViews>
  <sheetFormatPr defaultColWidth="9.00390625" defaultRowHeight="14.25"/>
  <cols>
    <col min="1" max="1" width="3.50390625" style="0" customWidth="1"/>
    <col min="2" max="2" width="22.125" style="0" customWidth="1"/>
    <col min="3" max="3" width="11.25390625" style="0" customWidth="1"/>
    <col min="4" max="4" width="11.00390625" style="0" customWidth="1"/>
    <col min="5" max="5" width="13.75390625" style="0" customWidth="1"/>
    <col min="6" max="6" width="15.50390625" style="0" customWidth="1"/>
    <col min="7" max="7" width="13.75390625" style="0" customWidth="1"/>
    <col min="8" max="8" width="6.875" style="0" customWidth="1"/>
    <col min="9" max="9" width="19.25390625" style="0" customWidth="1"/>
    <col min="10" max="10" width="12.375" style="0" customWidth="1"/>
  </cols>
  <sheetData>
    <row r="1" spans="1:10" ht="30" customHeight="1">
      <c r="A1" s="203" t="s">
        <v>215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ht="23.25" customHeight="1">
      <c r="A2" s="204" t="s">
        <v>92</v>
      </c>
      <c r="B2" s="205"/>
      <c r="C2" s="77"/>
      <c r="D2" s="77"/>
      <c r="E2" s="77"/>
      <c r="F2" s="77"/>
      <c r="G2" s="77"/>
      <c r="H2" s="77"/>
      <c r="I2" s="77"/>
      <c r="J2" s="87" t="s">
        <v>93</v>
      </c>
    </row>
    <row r="3" spans="1:10" ht="24" customHeight="1">
      <c r="A3" s="206" t="s">
        <v>19</v>
      </c>
      <c r="B3" s="207" t="s">
        <v>16</v>
      </c>
      <c r="C3" s="223" t="s">
        <v>205</v>
      </c>
      <c r="D3" s="210" t="s">
        <v>84</v>
      </c>
      <c r="E3" s="224" t="s">
        <v>203</v>
      </c>
      <c r="F3" s="225"/>
      <c r="G3" s="226"/>
      <c r="H3" s="227" t="s">
        <v>208</v>
      </c>
      <c r="I3" s="227" t="s">
        <v>74</v>
      </c>
      <c r="J3" s="190" t="s">
        <v>14</v>
      </c>
    </row>
    <row r="4" spans="1:10" ht="59.25" customHeight="1">
      <c r="A4" s="194"/>
      <c r="B4" s="192"/>
      <c r="C4" s="196"/>
      <c r="D4" s="210"/>
      <c r="E4" s="80" t="s">
        <v>213</v>
      </c>
      <c r="F4" s="80" t="s">
        <v>214</v>
      </c>
      <c r="G4" s="169" t="s">
        <v>204</v>
      </c>
      <c r="H4" s="192"/>
      <c r="I4" s="194"/>
      <c r="J4" s="190"/>
    </row>
    <row r="5" spans="1:10" ht="34.5" customHeight="1">
      <c r="A5" s="66"/>
      <c r="B5" s="70">
        <v>1</v>
      </c>
      <c r="C5" s="71">
        <v>2</v>
      </c>
      <c r="D5" s="88">
        <v>3</v>
      </c>
      <c r="E5" s="88">
        <v>4</v>
      </c>
      <c r="F5" s="88">
        <v>5</v>
      </c>
      <c r="G5" s="88">
        <v>6</v>
      </c>
      <c r="H5" s="72">
        <v>7</v>
      </c>
      <c r="I5" s="172" t="s">
        <v>212</v>
      </c>
      <c r="J5" s="5"/>
    </row>
    <row r="6" spans="1:10" ht="19.5" customHeight="1">
      <c r="A6" s="164">
        <v>1</v>
      </c>
      <c r="B6" s="171" t="s">
        <v>211</v>
      </c>
      <c r="C6" s="29">
        <f>SUM(C7:C9)</f>
        <v>25492</v>
      </c>
      <c r="D6" s="29">
        <f>SUM(D7:D9)</f>
        <v>34496</v>
      </c>
      <c r="E6" s="29">
        <f>SUM(E7:E9)</f>
        <v>3703</v>
      </c>
      <c r="F6" s="29">
        <f>SUM(F7:F9)</f>
        <v>1839</v>
      </c>
      <c r="G6" s="29">
        <f>SUM(G7:G9)</f>
        <v>114</v>
      </c>
      <c r="H6" s="6"/>
      <c r="I6" s="29">
        <f>SUM(I7:I9)</f>
        <v>3842.999776895848</v>
      </c>
      <c r="J6" s="36"/>
    </row>
    <row r="7" spans="1:10" ht="19.5" customHeight="1">
      <c r="A7" s="78" t="s">
        <v>42</v>
      </c>
      <c r="B7" s="63" t="s">
        <v>41</v>
      </c>
      <c r="C7" s="64">
        <v>11000</v>
      </c>
      <c r="D7" s="64">
        <v>12891</v>
      </c>
      <c r="E7" s="148">
        <v>17</v>
      </c>
      <c r="F7" s="148">
        <v>15</v>
      </c>
      <c r="G7" s="148">
        <v>7</v>
      </c>
      <c r="H7" s="61">
        <v>0.82</v>
      </c>
      <c r="I7" s="61">
        <f>(D7-E7+G7-F7)*H7+(E7-G7)*H7*50%-C7*H7</f>
        <v>1534.2199999999993</v>
      </c>
      <c r="J7" s="166"/>
    </row>
    <row r="8" spans="1:10" ht="19.5" customHeight="1">
      <c r="A8" s="78" t="s">
        <v>47</v>
      </c>
      <c r="B8" s="63" t="s">
        <v>43</v>
      </c>
      <c r="C8" s="64">
        <v>10466</v>
      </c>
      <c r="D8" s="64">
        <v>12282</v>
      </c>
      <c r="E8" s="148">
        <v>181</v>
      </c>
      <c r="F8" s="148">
        <v>0</v>
      </c>
      <c r="G8" s="148">
        <v>0</v>
      </c>
      <c r="H8" s="61">
        <v>0.82</v>
      </c>
      <c r="I8" s="61">
        <f>(D8-E8+G8-F8)*H8+(E8-G8)*H8*50%-C8*H8</f>
        <v>1414.9099999999999</v>
      </c>
      <c r="J8" s="166"/>
    </row>
    <row r="9" spans="1:10" ht="19.5" customHeight="1">
      <c r="A9" s="217" t="s">
        <v>44</v>
      </c>
      <c r="B9" s="165" t="s">
        <v>89</v>
      </c>
      <c r="C9" s="64">
        <f>SUM(C10:C11)</f>
        <v>4026</v>
      </c>
      <c r="D9" s="148">
        <f>SUM(D10:D11)</f>
        <v>9323</v>
      </c>
      <c r="E9" s="148">
        <f>SUM(E10:E11)</f>
        <v>3505</v>
      </c>
      <c r="F9" s="148">
        <f>SUM(F10:F11)</f>
        <v>1824</v>
      </c>
      <c r="G9" s="148">
        <f>SUM(G10:G11)</f>
        <v>107</v>
      </c>
      <c r="H9" s="64"/>
      <c r="I9" s="90">
        <f>I10+I11+I13</f>
        <v>893.8697768958485</v>
      </c>
      <c r="J9" s="75"/>
    </row>
    <row r="10" spans="1:10" ht="19.5" customHeight="1">
      <c r="A10" s="198"/>
      <c r="B10" s="85" t="s">
        <v>90</v>
      </c>
      <c r="C10" s="51">
        <v>3694</v>
      </c>
      <c r="D10" s="51">
        <v>8035</v>
      </c>
      <c r="E10" s="163">
        <v>3505</v>
      </c>
      <c r="F10" s="163">
        <v>1824</v>
      </c>
      <c r="G10" s="163">
        <v>107</v>
      </c>
      <c r="H10" s="61">
        <v>0.86</v>
      </c>
      <c r="I10" s="61">
        <f>(D10-E10+G10-F10)*H10+(E10-G10)*H10*50%-C10*H10</f>
        <v>703.4799999999996</v>
      </c>
      <c r="J10" s="92"/>
    </row>
    <row r="11" spans="1:10" ht="19.5" customHeight="1">
      <c r="A11" s="198"/>
      <c r="B11" s="85" t="s">
        <v>91</v>
      </c>
      <c r="C11" s="51">
        <v>332</v>
      </c>
      <c r="D11" s="51">
        <v>1288</v>
      </c>
      <c r="E11" s="163"/>
      <c r="F11" s="163"/>
      <c r="G11" s="163"/>
      <c r="H11" s="61">
        <v>0.15</v>
      </c>
      <c r="I11" s="94">
        <f>(D11-C11)*H11</f>
        <v>143.4</v>
      </c>
      <c r="J11" s="53" t="s">
        <v>46</v>
      </c>
    </row>
    <row r="12" spans="1:10" ht="19.5" customHeight="1">
      <c r="A12" s="198"/>
      <c r="B12" s="102" t="s">
        <v>101</v>
      </c>
      <c r="C12" s="170" t="s">
        <v>206</v>
      </c>
      <c r="D12" s="86" t="s">
        <v>85</v>
      </c>
      <c r="E12" s="86"/>
      <c r="F12" s="86"/>
      <c r="G12" s="86"/>
      <c r="H12" s="64"/>
      <c r="I12" s="64"/>
      <c r="J12" s="53"/>
    </row>
    <row r="13" spans="1:10" ht="78" customHeight="1">
      <c r="A13" s="198"/>
      <c r="B13" s="83"/>
      <c r="C13" s="51">
        <v>69.65</v>
      </c>
      <c r="D13" s="90">
        <f>D11/D9*844.28</f>
        <v>116.63977689584897</v>
      </c>
      <c r="E13" s="90"/>
      <c r="F13" s="90"/>
      <c r="G13" s="90"/>
      <c r="H13" s="79"/>
      <c r="I13" s="90">
        <f>D13-C13</f>
        <v>46.98977689584896</v>
      </c>
      <c r="J13" s="166" t="s">
        <v>209</v>
      </c>
    </row>
    <row r="14" spans="1:10" ht="53.25" customHeight="1">
      <c r="A14" s="201" t="s">
        <v>207</v>
      </c>
      <c r="B14" s="202"/>
      <c r="C14" s="202"/>
      <c r="D14" s="202"/>
      <c r="E14" s="202"/>
      <c r="F14" s="202"/>
      <c r="G14" s="202"/>
      <c r="H14" s="202"/>
      <c r="I14" s="202"/>
      <c r="J14" s="202"/>
    </row>
    <row r="15" spans="1:10" ht="18.75" customHeight="1">
      <c r="A15" s="228" t="s">
        <v>210</v>
      </c>
      <c r="B15" s="200"/>
      <c r="C15" s="200"/>
      <c r="D15" s="200"/>
      <c r="E15" s="200"/>
      <c r="F15" s="200"/>
      <c r="G15" s="200"/>
      <c r="H15" s="200"/>
      <c r="I15" s="200"/>
      <c r="J15" s="200"/>
    </row>
    <row r="16" ht="15">
      <c r="A16" s="173" t="s">
        <v>216</v>
      </c>
    </row>
  </sheetData>
  <sheetProtection/>
  <mergeCells count="13">
    <mergeCell ref="A14:J14"/>
    <mergeCell ref="A15:J15"/>
    <mergeCell ref="A2:B2"/>
    <mergeCell ref="A1:J1"/>
    <mergeCell ref="J3:J4"/>
    <mergeCell ref="A9:A13"/>
    <mergeCell ref="A3:A4"/>
    <mergeCell ref="B3:B4"/>
    <mergeCell ref="C3:C4"/>
    <mergeCell ref="D3:D4"/>
    <mergeCell ref="E3:G3"/>
    <mergeCell ref="H3:H4"/>
    <mergeCell ref="I3:I4"/>
  </mergeCells>
  <printOptions horizontalCentered="1"/>
  <pageMargins left="0.2362204724409449" right="0.2362204724409449" top="0.7480314960629921" bottom="0.7480314960629921" header="0.31496062992125984" footer="0.31496062992125984"/>
  <pageSetup fitToWidth="0" fitToHeight="1" horizontalDpi="600" verticalDpi="600" orientation="landscape" paperSize="9" scale="99" r:id="rId1"/>
  <ignoredErrors>
    <ignoredError sqref="D13 I13" evalError="1"/>
    <ignoredError sqref="I9" evalError="1" formula="1"/>
    <ignoredError sqref="A7:A13" numberStoredAsText="1"/>
    <ignoredError sqref="D6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Q15"/>
  <sheetViews>
    <sheetView zoomScalePageLayoutView="0" workbookViewId="0" topLeftCell="A1">
      <selection activeCell="P9" sqref="P9"/>
    </sheetView>
  </sheetViews>
  <sheetFormatPr defaultColWidth="9.00390625" defaultRowHeight="14.25"/>
  <cols>
    <col min="1" max="1" width="3.875" style="0" customWidth="1"/>
    <col min="2" max="2" width="14.375" style="0" customWidth="1"/>
    <col min="3" max="3" width="11.375" style="0" hidden="1" customWidth="1"/>
    <col min="4" max="4" width="9.50390625" style="0" customWidth="1"/>
    <col min="5" max="5" width="8.375" style="0" hidden="1" customWidth="1"/>
    <col min="6" max="6" width="8.25390625" style="0" customWidth="1"/>
    <col min="7" max="8" width="10.00390625" style="0" customWidth="1"/>
    <col min="9" max="11" width="10.125" style="0" bestFit="1" customWidth="1"/>
    <col min="12" max="13" width="9.375" style="0" hidden="1" customWidth="1"/>
    <col min="14" max="14" width="8.50390625" style="0" hidden="1" customWidth="1"/>
    <col min="15" max="16" width="10.125" style="0" customWidth="1"/>
    <col min="17" max="17" width="25.50390625" style="0" customWidth="1"/>
  </cols>
  <sheetData>
    <row r="1" spans="1:17" ht="20.25">
      <c r="A1" s="238" t="s">
        <v>68</v>
      </c>
      <c r="B1" s="203"/>
      <c r="C1" s="203"/>
      <c r="D1" s="203"/>
      <c r="E1" s="203"/>
      <c r="F1" s="239"/>
      <c r="G1" s="239"/>
      <c r="H1" s="239"/>
      <c r="I1" s="239"/>
      <c r="J1" s="239"/>
      <c r="K1" s="240"/>
      <c r="L1" s="240"/>
      <c r="M1" s="240"/>
      <c r="N1" s="240"/>
      <c r="O1" s="240"/>
      <c r="P1" s="240"/>
      <c r="Q1" s="241"/>
    </row>
    <row r="2" spans="1:17" ht="28.5" customHeight="1">
      <c r="A2" s="242" t="s">
        <v>69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4"/>
    </row>
    <row r="3" spans="1:17" ht="20.25" customHeight="1">
      <c r="A3" s="206" t="s">
        <v>19</v>
      </c>
      <c r="B3" s="207" t="s">
        <v>16</v>
      </c>
      <c r="C3" s="245" t="s">
        <v>61</v>
      </c>
      <c r="D3" s="208" t="s">
        <v>79</v>
      </c>
      <c r="E3" s="246" t="s">
        <v>23</v>
      </c>
      <c r="F3" s="193" t="s">
        <v>70</v>
      </c>
      <c r="G3" s="206" t="s">
        <v>78</v>
      </c>
      <c r="H3" s="235" t="s">
        <v>60</v>
      </c>
      <c r="I3" s="236"/>
      <c r="J3" s="236"/>
      <c r="K3" s="237"/>
      <c r="L3" s="234" t="s">
        <v>77</v>
      </c>
      <c r="M3" s="190"/>
      <c r="N3" s="190"/>
      <c r="O3" s="206" t="s">
        <v>82</v>
      </c>
      <c r="P3" s="193" t="s">
        <v>74</v>
      </c>
      <c r="Q3" s="207" t="s">
        <v>14</v>
      </c>
    </row>
    <row r="4" spans="1:17" ht="30.75" customHeight="1">
      <c r="A4" s="194"/>
      <c r="B4" s="192"/>
      <c r="C4" s="196"/>
      <c r="D4" s="196"/>
      <c r="E4" s="247"/>
      <c r="F4" s="192"/>
      <c r="G4" s="194"/>
      <c r="H4" s="80" t="s">
        <v>80</v>
      </c>
      <c r="I4" s="5" t="s">
        <v>36</v>
      </c>
      <c r="J4" s="5" t="s">
        <v>24</v>
      </c>
      <c r="K4" s="5" t="s">
        <v>25</v>
      </c>
      <c r="L4" s="5" t="s">
        <v>36</v>
      </c>
      <c r="M4" s="5" t="s">
        <v>24</v>
      </c>
      <c r="N4" s="5" t="s">
        <v>25</v>
      </c>
      <c r="O4" s="230"/>
      <c r="P4" s="194"/>
      <c r="Q4" s="192"/>
    </row>
    <row r="5" spans="1:17" ht="21" customHeight="1">
      <c r="A5" s="66"/>
      <c r="B5" s="70">
        <v>1</v>
      </c>
      <c r="C5" s="71"/>
      <c r="D5" s="71">
        <v>2</v>
      </c>
      <c r="E5" s="70"/>
      <c r="F5" s="72">
        <v>3</v>
      </c>
      <c r="G5" s="72" t="s">
        <v>71</v>
      </c>
      <c r="H5" s="82" t="s">
        <v>81</v>
      </c>
      <c r="I5" s="73" t="s">
        <v>72</v>
      </c>
      <c r="J5" s="73">
        <v>6</v>
      </c>
      <c r="K5" s="73">
        <v>7</v>
      </c>
      <c r="L5" s="72"/>
      <c r="M5" s="72"/>
      <c r="N5" s="72"/>
      <c r="O5" s="74">
        <v>8</v>
      </c>
      <c r="P5" s="74" t="s">
        <v>73</v>
      </c>
      <c r="Q5" s="6"/>
    </row>
    <row r="6" spans="1:17" ht="29.25" customHeight="1">
      <c r="A6" s="28"/>
      <c r="B6" s="7" t="s">
        <v>20</v>
      </c>
      <c r="C6" s="29">
        <f>SUM(C7:C13)</f>
        <v>0</v>
      </c>
      <c r="D6" s="29"/>
      <c r="E6" s="30"/>
      <c r="F6" s="6" t="s">
        <v>17</v>
      </c>
      <c r="G6" s="31">
        <f aca="true" t="shared" si="0" ref="G6:N6">SUM(G7:G10)</f>
        <v>0</v>
      </c>
      <c r="H6" s="31"/>
      <c r="I6" s="31">
        <f t="shared" si="0"/>
        <v>21366.910000000003</v>
      </c>
      <c r="J6" s="31">
        <f t="shared" si="0"/>
        <v>15363.82</v>
      </c>
      <c r="K6" s="31">
        <f t="shared" si="0"/>
        <v>6003.09</v>
      </c>
      <c r="L6" s="31">
        <f t="shared" si="0"/>
        <v>20898.410000000003</v>
      </c>
      <c r="M6" s="31">
        <f t="shared" si="0"/>
        <v>15257.310000000001</v>
      </c>
      <c r="N6" s="31">
        <f t="shared" si="0"/>
        <v>5641.1</v>
      </c>
      <c r="O6" s="29">
        <f>SUM(O7:O13)</f>
        <v>700</v>
      </c>
      <c r="P6" s="29">
        <f>SUM(P7:P13)</f>
        <v>-24135.060000000005</v>
      </c>
      <c r="Q6" s="36"/>
    </row>
    <row r="7" spans="1:17" ht="15">
      <c r="A7" s="58" t="s">
        <v>40</v>
      </c>
      <c r="B7" s="63" t="s">
        <v>41</v>
      </c>
      <c r="C7" s="64"/>
      <c r="D7" s="64"/>
      <c r="E7" s="64">
        <f>D7-C7</f>
        <v>0</v>
      </c>
      <c r="F7" s="64">
        <v>8200</v>
      </c>
      <c r="G7" s="65">
        <f>D7*F7/10000</f>
        <v>0</v>
      </c>
      <c r="H7" s="81">
        <f>(I7-O7)/F7*10000</f>
        <v>9600</v>
      </c>
      <c r="I7" s="61">
        <f>J7+K7</f>
        <v>8022</v>
      </c>
      <c r="J7" s="61">
        <v>5595.36</v>
      </c>
      <c r="K7" s="61">
        <v>2426.64</v>
      </c>
      <c r="L7" s="61">
        <f>SUM(M7:N7)</f>
        <v>9020</v>
      </c>
      <c r="M7" s="61">
        <v>6990.42</v>
      </c>
      <c r="N7" s="61">
        <v>2029.58</v>
      </c>
      <c r="O7" s="64">
        <v>150</v>
      </c>
      <c r="P7" s="65">
        <f>G7-I7+O7</f>
        <v>-7872</v>
      </c>
      <c r="Q7" s="69" t="s">
        <v>62</v>
      </c>
    </row>
    <row r="8" spans="1:17" ht="15">
      <c r="A8" s="58" t="s">
        <v>42</v>
      </c>
      <c r="B8" s="63" t="s">
        <v>43</v>
      </c>
      <c r="C8" s="64"/>
      <c r="D8" s="64"/>
      <c r="E8" s="64">
        <f>D8-C8</f>
        <v>0</v>
      </c>
      <c r="F8" s="64">
        <v>8200</v>
      </c>
      <c r="G8" s="65">
        <f>D8*F8/10000</f>
        <v>0</v>
      </c>
      <c r="H8" s="81">
        <f>(I8-O8)/F8*10000</f>
        <v>9776.536585365853</v>
      </c>
      <c r="I8" s="61">
        <f aca="true" t="shared" si="1" ref="I8:I13">J8+K8</f>
        <v>8166.76</v>
      </c>
      <c r="J8" s="61">
        <v>4990.31</v>
      </c>
      <c r="K8" s="61">
        <v>3176.45</v>
      </c>
      <c r="L8" s="61">
        <f>SUM(M8:N8)</f>
        <v>8582.12</v>
      </c>
      <c r="M8" s="61">
        <v>4970.6</v>
      </c>
      <c r="N8" s="61">
        <v>3611.52</v>
      </c>
      <c r="O8" s="64">
        <v>150</v>
      </c>
      <c r="P8" s="65">
        <f aca="true" t="shared" si="2" ref="P8:P13">G8-I8+O8</f>
        <v>-8016.76</v>
      </c>
      <c r="Q8" s="69" t="s">
        <v>63</v>
      </c>
    </row>
    <row r="9" spans="1:17" ht="35.25">
      <c r="A9" s="67" t="s">
        <v>47</v>
      </c>
      <c r="B9" s="76" t="s">
        <v>48</v>
      </c>
      <c r="C9" s="64"/>
      <c r="D9" s="64"/>
      <c r="E9" s="64">
        <f>D9-C9</f>
        <v>0</v>
      </c>
      <c r="F9" s="64">
        <v>4700</v>
      </c>
      <c r="G9" s="65">
        <f>D9*F9/10000</f>
        <v>0</v>
      </c>
      <c r="H9" s="81">
        <f>(I9-O9)/F9*10000</f>
        <v>3000</v>
      </c>
      <c r="I9" s="61">
        <f t="shared" si="1"/>
        <v>1710</v>
      </c>
      <c r="J9" s="61">
        <v>1410</v>
      </c>
      <c r="K9" s="61">
        <v>300</v>
      </c>
      <c r="L9" s="61"/>
      <c r="M9" s="61"/>
      <c r="N9" s="61"/>
      <c r="O9" s="64">
        <v>300</v>
      </c>
      <c r="P9" s="65">
        <f t="shared" si="2"/>
        <v>-1410</v>
      </c>
      <c r="Q9" s="69" t="s">
        <v>64</v>
      </c>
    </row>
    <row r="10" spans="1:17" ht="15">
      <c r="A10" s="217" t="s">
        <v>44</v>
      </c>
      <c r="B10" s="67" t="s">
        <v>0</v>
      </c>
      <c r="C10" s="64"/>
      <c r="D10" s="64"/>
      <c r="E10" s="64"/>
      <c r="F10" s="64" t="s">
        <v>17</v>
      </c>
      <c r="G10" s="65"/>
      <c r="H10" s="65"/>
      <c r="I10" s="61">
        <f t="shared" si="1"/>
        <v>3468.15</v>
      </c>
      <c r="J10" s="61">
        <f>SUM(J11:J13)</f>
        <v>3368.15</v>
      </c>
      <c r="K10" s="61">
        <f>SUM(K11:K13)</f>
        <v>100</v>
      </c>
      <c r="L10" s="61">
        <f>SUM(L11:L13)</f>
        <v>3296.2900000000004</v>
      </c>
      <c r="M10" s="61">
        <f>SUM(M11:M13)</f>
        <v>3296.2900000000004</v>
      </c>
      <c r="N10" s="61"/>
      <c r="O10" s="64">
        <v>100</v>
      </c>
      <c r="P10" s="65">
        <f t="shared" si="2"/>
        <v>-3368.15</v>
      </c>
      <c r="Q10" s="69" t="s">
        <v>65</v>
      </c>
    </row>
    <row r="11" spans="1:17" ht="35.25">
      <c r="A11" s="198"/>
      <c r="B11" s="231" t="s">
        <v>45</v>
      </c>
      <c r="C11" s="51"/>
      <c r="D11" s="51"/>
      <c r="E11" s="64">
        <f>D11-C11</f>
        <v>0</v>
      </c>
      <c r="F11" s="64">
        <v>8600</v>
      </c>
      <c r="G11" s="65">
        <f>D11*F11/10000</f>
        <v>0</v>
      </c>
      <c r="H11" s="81">
        <f>(I11-O11)/F11*10000</f>
        <v>3795.2790697674423</v>
      </c>
      <c r="I11" s="61">
        <f t="shared" si="1"/>
        <v>3263.94</v>
      </c>
      <c r="J11" s="61">
        <v>3163.94</v>
      </c>
      <c r="K11" s="61">
        <v>100</v>
      </c>
      <c r="L11" s="61">
        <f>SUM(M11:N11)</f>
        <v>3176.84</v>
      </c>
      <c r="M11" s="61">
        <v>3176.84</v>
      </c>
      <c r="N11" s="61"/>
      <c r="O11" s="61"/>
      <c r="P11" s="65">
        <f t="shared" si="2"/>
        <v>-3263.94</v>
      </c>
      <c r="Q11" s="75" t="s">
        <v>75</v>
      </c>
    </row>
    <row r="12" spans="1:17" ht="23.25" customHeight="1">
      <c r="A12" s="198"/>
      <c r="B12" s="232"/>
      <c r="C12" s="51"/>
      <c r="D12" s="51"/>
      <c r="E12" s="64"/>
      <c r="F12" s="64">
        <v>1500</v>
      </c>
      <c r="G12" s="65">
        <f>D12*F12/10000</f>
        <v>0</v>
      </c>
      <c r="H12" s="81">
        <f>(I12-O12)/F12*10000</f>
        <v>606</v>
      </c>
      <c r="I12" s="61">
        <f t="shared" si="1"/>
        <v>90.9</v>
      </c>
      <c r="J12" s="61">
        <v>90.9</v>
      </c>
      <c r="K12" s="61"/>
      <c r="L12" s="61">
        <f>SUM(M12:N12)</f>
        <v>49.8</v>
      </c>
      <c r="M12" s="61">
        <v>49.8</v>
      </c>
      <c r="N12" s="61"/>
      <c r="O12" s="61"/>
      <c r="P12" s="65">
        <f t="shared" si="2"/>
        <v>-90.9</v>
      </c>
      <c r="Q12" s="53" t="s">
        <v>46</v>
      </c>
    </row>
    <row r="13" spans="1:17" ht="59.25">
      <c r="A13" s="198"/>
      <c r="B13" s="232"/>
      <c r="C13" s="51"/>
      <c r="D13" s="67" t="s">
        <v>17</v>
      </c>
      <c r="E13" s="68"/>
      <c r="F13" s="68" t="s">
        <v>17</v>
      </c>
      <c r="G13" s="68"/>
      <c r="H13" s="79"/>
      <c r="I13" s="61">
        <f t="shared" si="1"/>
        <v>113.31</v>
      </c>
      <c r="J13" s="61">
        <v>113.31</v>
      </c>
      <c r="K13" s="61"/>
      <c r="L13" s="61">
        <f>SUM(M13:N13)</f>
        <v>69.65</v>
      </c>
      <c r="M13" s="61">
        <v>69.65</v>
      </c>
      <c r="N13" s="61"/>
      <c r="O13" s="61"/>
      <c r="P13" s="65">
        <f t="shared" si="2"/>
        <v>-113.31</v>
      </c>
      <c r="Q13" s="75" t="s">
        <v>76</v>
      </c>
    </row>
    <row r="14" spans="1:17" ht="49.5" customHeight="1">
      <c r="A14" s="200" t="s">
        <v>66</v>
      </c>
      <c r="B14" s="199"/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233"/>
    </row>
    <row r="15" spans="1:17" ht="49.5" customHeight="1">
      <c r="A15" s="200" t="s">
        <v>67</v>
      </c>
      <c r="B15" s="229"/>
      <c r="C15" s="229"/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</row>
  </sheetData>
  <sheetProtection/>
  <mergeCells count="18">
    <mergeCell ref="A1:Q1"/>
    <mergeCell ref="A2:Q2"/>
    <mergeCell ref="A3:A4"/>
    <mergeCell ref="B3:B4"/>
    <mergeCell ref="C3:C4"/>
    <mergeCell ref="D3:D4"/>
    <mergeCell ref="E3:E4"/>
    <mergeCell ref="F3:F4"/>
    <mergeCell ref="G3:G4"/>
    <mergeCell ref="A15:Q15"/>
    <mergeCell ref="O3:O4"/>
    <mergeCell ref="P3:P4"/>
    <mergeCell ref="Q3:Q4"/>
    <mergeCell ref="A10:A13"/>
    <mergeCell ref="B11:B13"/>
    <mergeCell ref="A14:Q14"/>
    <mergeCell ref="L3:N3"/>
    <mergeCell ref="H3:K3"/>
  </mergeCells>
  <printOptions horizontalCentered="1"/>
  <pageMargins left="0.25" right="0.25" top="0.75" bottom="0.75" header="0.3" footer="0.3"/>
  <pageSetup horizontalDpi="600" verticalDpi="600" orientation="landscape" paperSize="9" r:id="rId1"/>
  <ignoredErrors>
    <ignoredError sqref="L7:L8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B14">
      <selection activeCell="G18" sqref="G18"/>
    </sheetView>
  </sheetViews>
  <sheetFormatPr defaultColWidth="9.00390625" defaultRowHeight="14.25"/>
  <cols>
    <col min="1" max="1" width="4.50390625" style="1" customWidth="1"/>
    <col min="2" max="2" width="17.625" style="1" customWidth="1"/>
    <col min="3" max="3" width="11.50390625" style="1" hidden="1" customWidth="1"/>
    <col min="4" max="4" width="10.875" style="4" customWidth="1"/>
    <col min="5" max="5" width="7.25390625" style="1" hidden="1" customWidth="1"/>
    <col min="6" max="6" width="11.25390625" style="1" customWidth="1"/>
    <col min="7" max="7" width="13.00390625" style="1" customWidth="1"/>
    <col min="8" max="8" width="10.25390625" style="1" customWidth="1"/>
    <col min="9" max="9" width="10.375" style="1" customWidth="1"/>
    <col min="10" max="10" width="8.75390625" style="1" customWidth="1"/>
    <col min="11" max="11" width="12.25390625" style="1" customWidth="1"/>
    <col min="12" max="12" width="9.50390625" style="1" customWidth="1"/>
    <col min="13" max="13" width="27.375" style="1" customWidth="1"/>
    <col min="14" max="16384" width="9.00390625" style="1" customWidth="1"/>
  </cols>
  <sheetData>
    <row r="1" spans="1:12" ht="19.5" customHeight="1">
      <c r="A1" s="248" t="s">
        <v>12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43"/>
    </row>
    <row r="2" spans="1:13" ht="21.75" customHeight="1">
      <c r="A2" s="238" t="s">
        <v>49</v>
      </c>
      <c r="B2" s="203"/>
      <c r="C2" s="203"/>
      <c r="D2" s="203"/>
      <c r="E2" s="203"/>
      <c r="F2" s="239"/>
      <c r="G2" s="239"/>
      <c r="H2" s="239"/>
      <c r="I2" s="239"/>
      <c r="J2" s="240"/>
      <c r="K2" s="240"/>
      <c r="L2" s="240"/>
      <c r="M2" s="241"/>
    </row>
    <row r="3" spans="1:13" ht="23.25" customHeight="1">
      <c r="A3" s="250" t="s">
        <v>21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4"/>
    </row>
    <row r="4" spans="1:13" ht="30.75" customHeight="1">
      <c r="A4" s="206" t="s">
        <v>19</v>
      </c>
      <c r="B4" s="207" t="s">
        <v>16</v>
      </c>
      <c r="C4" s="208" t="s">
        <v>22</v>
      </c>
      <c r="D4" s="251" t="s">
        <v>50</v>
      </c>
      <c r="E4" s="246" t="s">
        <v>23</v>
      </c>
      <c r="F4" s="207" t="s">
        <v>37</v>
      </c>
      <c r="G4" s="252" t="s">
        <v>51</v>
      </c>
      <c r="H4" s="253" t="s">
        <v>52</v>
      </c>
      <c r="I4" s="190"/>
      <c r="J4" s="190"/>
      <c r="K4" s="206" t="s">
        <v>38</v>
      </c>
      <c r="L4" s="254" t="s">
        <v>39</v>
      </c>
      <c r="M4" s="207" t="s">
        <v>14</v>
      </c>
    </row>
    <row r="5" spans="1:13" ht="26.25" customHeight="1">
      <c r="A5" s="194"/>
      <c r="B5" s="192"/>
      <c r="C5" s="196"/>
      <c r="D5" s="196"/>
      <c r="E5" s="247"/>
      <c r="F5" s="192"/>
      <c r="G5" s="192"/>
      <c r="H5" s="5" t="s">
        <v>36</v>
      </c>
      <c r="I5" s="5" t="s">
        <v>24</v>
      </c>
      <c r="J5" s="5" t="s">
        <v>25</v>
      </c>
      <c r="K5" s="194"/>
      <c r="L5" s="255"/>
      <c r="M5" s="192"/>
    </row>
    <row r="6" spans="1:13" ht="25.5" customHeight="1" hidden="1">
      <c r="A6" s="8"/>
      <c r="B6" s="9" t="s">
        <v>26</v>
      </c>
      <c r="C6" s="10">
        <f>SUM(C7,C9,C11,C14,C22)</f>
        <v>42153</v>
      </c>
      <c r="D6" s="10">
        <f>SUM(D7,D9,D11,D14,D22)</f>
        <v>50664</v>
      </c>
      <c r="E6" s="11" t="e">
        <f>SUM(#REF!,#REF!,#REF!,#REF!,#REF!,#REF!,#REF!)</f>
        <v>#REF!</v>
      </c>
      <c r="F6" s="8"/>
      <c r="G6" s="12" t="e">
        <f>SUM(G7,G9,G11,G14,G22)</f>
        <v>#REF!</v>
      </c>
      <c r="H6" s="12">
        <f>SUM(H7,H9,H11,H14,H22)</f>
        <v>35614.590000000004</v>
      </c>
      <c r="I6" s="12">
        <f>SUM(I7,I9,I11,I14,I22)</f>
        <v>17066.21</v>
      </c>
      <c r="J6" s="12">
        <f>SUM(J7,J9,J11,J14,J22)</f>
        <v>18697.379999999997</v>
      </c>
      <c r="K6" s="12" t="e">
        <f>SUM(K7,K9,K11,K14,K22)</f>
        <v>#REF!</v>
      </c>
      <c r="L6" s="256"/>
      <c r="M6" s="13"/>
    </row>
    <row r="7" spans="1:13" ht="25.5" customHeight="1" hidden="1">
      <c r="A7" s="14"/>
      <c r="B7" s="15" t="s">
        <v>27</v>
      </c>
      <c r="C7" s="16">
        <f>SUM(C8)</f>
        <v>0</v>
      </c>
      <c r="D7" s="16">
        <f>SUM(D8)</f>
        <v>1315</v>
      </c>
      <c r="E7" s="16">
        <f>SUM(E8)</f>
        <v>0</v>
      </c>
      <c r="F7" s="16"/>
      <c r="G7" s="17" t="e">
        <f>SUM(G8)</f>
        <v>#REF!</v>
      </c>
      <c r="H7" s="17">
        <f>SUM(H8)</f>
        <v>728.87</v>
      </c>
      <c r="I7" s="17">
        <f>SUM(I8)</f>
        <v>660.87</v>
      </c>
      <c r="J7" s="17">
        <f>SUM(J8)</f>
        <v>68</v>
      </c>
      <c r="K7" s="17" t="e">
        <f>SUM(K8)</f>
        <v>#REF!</v>
      </c>
      <c r="L7" s="17"/>
      <c r="M7" s="13"/>
    </row>
    <row r="8" spans="1:13" s="2" customFormat="1" ht="25.5" customHeight="1" hidden="1">
      <c r="A8" s="18"/>
      <c r="B8" s="19" t="s">
        <v>28</v>
      </c>
      <c r="C8" s="20"/>
      <c r="D8" s="20">
        <v>1315</v>
      </c>
      <c r="E8" s="21"/>
      <c r="F8" s="22">
        <v>6800</v>
      </c>
      <c r="G8" s="23" t="e">
        <f>#REF!*B8/10000</f>
        <v>#REF!</v>
      </c>
      <c r="H8" s="23">
        <f>I8+J8</f>
        <v>728.87</v>
      </c>
      <c r="I8" s="23">
        <v>660.87</v>
      </c>
      <c r="J8" s="23">
        <v>68</v>
      </c>
      <c r="K8" s="23" t="e">
        <f>#REF!-H8</f>
        <v>#REF!</v>
      </c>
      <c r="L8" s="23"/>
      <c r="M8" s="13"/>
    </row>
    <row r="9" spans="1:13" ht="25.5" customHeight="1" hidden="1">
      <c r="A9" s="14"/>
      <c r="B9" s="15" t="s">
        <v>29</v>
      </c>
      <c r="C9" s="16">
        <f>SUM(C10)</f>
        <v>7713</v>
      </c>
      <c r="D9" s="16">
        <f>SUM(D10)</f>
        <v>8517</v>
      </c>
      <c r="E9" s="16">
        <f>SUM(E10)</f>
        <v>804</v>
      </c>
      <c r="F9" s="16"/>
      <c r="G9" s="17" t="e">
        <f>SUM(G10)</f>
        <v>#REF!</v>
      </c>
      <c r="H9" s="17">
        <f>SUM(H10)</f>
        <v>6075.46</v>
      </c>
      <c r="I9" s="17">
        <f>SUM(I10)</f>
        <v>535.05</v>
      </c>
      <c r="J9" s="17">
        <f>SUM(J10)</f>
        <v>5540.41</v>
      </c>
      <c r="K9" s="17" t="e">
        <f>SUM(K10)</f>
        <v>#REF!</v>
      </c>
      <c r="L9" s="17"/>
      <c r="M9" s="13"/>
    </row>
    <row r="10" spans="1:13" s="2" customFormat="1" ht="25.5" customHeight="1" hidden="1">
      <c r="A10" s="24" t="s">
        <v>30</v>
      </c>
      <c r="B10" s="19" t="s">
        <v>31</v>
      </c>
      <c r="C10" s="25">
        <v>7713</v>
      </c>
      <c r="D10" s="25">
        <v>8517</v>
      </c>
      <c r="E10" s="25">
        <f>D10-C10</f>
        <v>804</v>
      </c>
      <c r="F10" s="25">
        <v>7000</v>
      </c>
      <c r="G10" s="23" t="e">
        <f>#REF!*B10/10000</f>
        <v>#REF!</v>
      </c>
      <c r="H10" s="26">
        <f>SUM(I10:J10)</f>
        <v>6075.46</v>
      </c>
      <c r="I10" s="26">
        <v>535.05</v>
      </c>
      <c r="J10" s="26">
        <v>5540.41</v>
      </c>
      <c r="K10" s="23" t="e">
        <f>#REF!-H10</f>
        <v>#REF!</v>
      </c>
      <c r="L10" s="23"/>
      <c r="M10" s="13"/>
    </row>
    <row r="11" spans="1:13" ht="25.5" customHeight="1" hidden="1">
      <c r="A11" s="14"/>
      <c r="B11" s="15" t="s">
        <v>32</v>
      </c>
      <c r="C11" s="16">
        <f>SUM(C12,)</f>
        <v>10056</v>
      </c>
      <c r="D11" s="16">
        <f>SUM(D12,)</f>
        <v>11083</v>
      </c>
      <c r="E11" s="27"/>
      <c r="F11" s="14"/>
      <c r="G11" s="17" t="e">
        <f>SUM(G12)</f>
        <v>#REF!</v>
      </c>
      <c r="H11" s="17">
        <f>SUM(H12)</f>
        <v>6520.5</v>
      </c>
      <c r="I11" s="17">
        <f>SUM(I12)</f>
        <v>1065.11</v>
      </c>
      <c r="J11" s="17">
        <f>SUM(J12)</f>
        <v>5455.39</v>
      </c>
      <c r="K11" s="17" t="e">
        <f>SUM(K12)</f>
        <v>#REF!</v>
      </c>
      <c r="L11" s="17"/>
      <c r="M11" s="13"/>
    </row>
    <row r="12" spans="1:13" s="3" customFormat="1" ht="25.5" customHeight="1" hidden="1">
      <c r="A12" s="24" t="s">
        <v>33</v>
      </c>
      <c r="B12" s="19" t="s">
        <v>34</v>
      </c>
      <c r="C12" s="25">
        <v>10056</v>
      </c>
      <c r="D12" s="25">
        <v>11083</v>
      </c>
      <c r="E12" s="25">
        <f>D12-C12</f>
        <v>1027</v>
      </c>
      <c r="F12" s="25">
        <v>7000</v>
      </c>
      <c r="G12" s="23" t="e">
        <f>#REF!*B12/10000</f>
        <v>#REF!</v>
      </c>
      <c r="H12" s="26">
        <f>I12+J12</f>
        <v>6520.5</v>
      </c>
      <c r="I12" s="26">
        <v>1065.11</v>
      </c>
      <c r="J12" s="26">
        <v>5455.39</v>
      </c>
      <c r="K12" s="23" t="e">
        <f>#REF!-H12</f>
        <v>#REF!</v>
      </c>
      <c r="L12" s="23"/>
      <c r="M12" s="13"/>
    </row>
    <row r="13" spans="1:13" s="4" customFormat="1" ht="25.5" customHeight="1" hidden="1">
      <c r="A13" s="24"/>
      <c r="B13" s="19"/>
      <c r="C13" s="25">
        <v>0</v>
      </c>
      <c r="D13" s="25"/>
      <c r="E13" s="25">
        <f>D13-C13</f>
        <v>0</v>
      </c>
      <c r="F13" s="25">
        <v>1000</v>
      </c>
      <c r="G13" s="23" t="e">
        <f>#REF!*B13/10000</f>
        <v>#REF!</v>
      </c>
      <c r="H13" s="26">
        <f>C13*F13/10000</f>
        <v>0</v>
      </c>
      <c r="I13" s="26" t="e">
        <f>#REF!-I12</f>
        <v>#REF!</v>
      </c>
      <c r="J13" s="26" t="e">
        <f>H13-I13</f>
        <v>#REF!</v>
      </c>
      <c r="K13" s="23" t="e">
        <f>#REF!-H13</f>
        <v>#REF!</v>
      </c>
      <c r="L13" s="23"/>
      <c r="M13" s="13"/>
    </row>
    <row r="14" spans="1:13" ht="24" customHeight="1">
      <c r="A14" s="28"/>
      <c r="B14" s="7" t="s">
        <v>20</v>
      </c>
      <c r="C14" s="29">
        <f>SUM(C15:C21)</f>
        <v>20298</v>
      </c>
      <c r="D14" s="29">
        <v>25425</v>
      </c>
      <c r="E14" s="30"/>
      <c r="F14" s="6" t="s">
        <v>17</v>
      </c>
      <c r="G14" s="31">
        <f>SUM(G15:G18)</f>
        <v>20167.27</v>
      </c>
      <c r="H14" s="31">
        <f>SUM(H15:H18)</f>
        <v>19511.54</v>
      </c>
      <c r="I14" s="31">
        <f>SUM(I15:I18)</f>
        <v>14533.54</v>
      </c>
      <c r="J14" s="31">
        <f>SUM(J15:J21)</f>
        <v>5127</v>
      </c>
      <c r="K14" s="31">
        <f>K15+K16+K17+K18</f>
        <v>655.7300000000009</v>
      </c>
      <c r="L14" s="31">
        <f>L18+L17+L16+L15</f>
        <v>1355.7300000000005</v>
      </c>
      <c r="M14" s="36"/>
    </row>
    <row r="15" spans="1:13" s="59" customFormat="1" ht="33.75" customHeight="1">
      <c r="A15" s="58" t="s">
        <v>40</v>
      </c>
      <c r="B15" s="63" t="s">
        <v>41</v>
      </c>
      <c r="C15" s="64">
        <v>4593</v>
      </c>
      <c r="D15" s="64">
        <v>9596</v>
      </c>
      <c r="E15" s="64">
        <f>D15-C15</f>
        <v>5003</v>
      </c>
      <c r="F15" s="64">
        <v>8200</v>
      </c>
      <c r="G15" s="65">
        <f>D15*F15/10000</f>
        <v>7868.72</v>
      </c>
      <c r="H15" s="61">
        <f>SUM(I15:J15)</f>
        <v>7265</v>
      </c>
      <c r="I15" s="61">
        <v>5465</v>
      </c>
      <c r="J15" s="61">
        <v>1800</v>
      </c>
      <c r="K15" s="65">
        <f>G15-H15</f>
        <v>603.7200000000003</v>
      </c>
      <c r="L15" s="65">
        <v>703.72</v>
      </c>
      <c r="M15" s="60" t="s">
        <v>55</v>
      </c>
    </row>
    <row r="16" spans="1:13" s="59" customFormat="1" ht="33.75" customHeight="1">
      <c r="A16" s="58" t="s">
        <v>42</v>
      </c>
      <c r="B16" s="63" t="s">
        <v>43</v>
      </c>
      <c r="C16" s="64">
        <v>7222</v>
      </c>
      <c r="D16" s="64">
        <v>9308</v>
      </c>
      <c r="E16" s="64">
        <f>D16-C16</f>
        <v>2086</v>
      </c>
      <c r="F16" s="64">
        <v>8200</v>
      </c>
      <c r="G16" s="65">
        <f>D16*F16/10000</f>
        <v>7632.56</v>
      </c>
      <c r="H16" s="61">
        <v>7157</v>
      </c>
      <c r="I16" s="61">
        <v>4479</v>
      </c>
      <c r="J16" s="61">
        <v>2677</v>
      </c>
      <c r="K16" s="65">
        <f>G16-H16</f>
        <v>475.5600000000004</v>
      </c>
      <c r="L16" s="65">
        <v>575.56</v>
      </c>
      <c r="M16" s="60" t="s">
        <v>56</v>
      </c>
    </row>
    <row r="17" spans="1:13" s="50" customFormat="1" ht="39" customHeight="1">
      <c r="A17" s="54" t="s">
        <v>47</v>
      </c>
      <c r="B17" s="63" t="s">
        <v>48</v>
      </c>
      <c r="C17" s="64">
        <v>5846</v>
      </c>
      <c r="D17" s="64">
        <v>2948</v>
      </c>
      <c r="E17" s="64">
        <f>D17-C17</f>
        <v>-2898</v>
      </c>
      <c r="F17" s="64">
        <v>4700</v>
      </c>
      <c r="G17" s="65">
        <f>D17*F17/10000</f>
        <v>1385.56</v>
      </c>
      <c r="H17" s="61">
        <f>I17+J17</f>
        <v>1760</v>
      </c>
      <c r="I17" s="61">
        <v>1410</v>
      </c>
      <c r="J17" s="61">
        <v>350</v>
      </c>
      <c r="K17" s="65">
        <f>G17-H17</f>
        <v>-374.44000000000005</v>
      </c>
      <c r="L17" s="65">
        <v>-24.44</v>
      </c>
      <c r="M17" s="60" t="s">
        <v>59</v>
      </c>
    </row>
    <row r="18" spans="1:13" s="50" customFormat="1" ht="27.75" customHeight="1">
      <c r="A18" s="217" t="s">
        <v>44</v>
      </c>
      <c r="B18" s="62" t="s">
        <v>0</v>
      </c>
      <c r="C18" s="64"/>
      <c r="D18" s="64">
        <f>SUM(D19:D20)</f>
        <v>4175</v>
      </c>
      <c r="E18" s="64"/>
      <c r="F18" s="64" t="s">
        <v>17</v>
      </c>
      <c r="G18" s="65">
        <f>G21+G20+G19</f>
        <v>3280.4300000000003</v>
      </c>
      <c r="H18" s="61">
        <f>H21+H20+H19</f>
        <v>3329.54</v>
      </c>
      <c r="I18" s="61">
        <f>I21+I20+I19</f>
        <v>3179.54</v>
      </c>
      <c r="J18" s="61">
        <v>150</v>
      </c>
      <c r="K18" s="65">
        <f>K21+K20+K19</f>
        <v>-49.10999999999967</v>
      </c>
      <c r="L18" s="65">
        <f>L19+L20+L21</f>
        <v>100.89000000000037</v>
      </c>
      <c r="M18" s="60" t="s">
        <v>57</v>
      </c>
    </row>
    <row r="19" spans="1:13" s="50" customFormat="1" ht="27.75" customHeight="1">
      <c r="A19" s="198"/>
      <c r="B19" s="257" t="s">
        <v>45</v>
      </c>
      <c r="C19" s="51">
        <v>2637</v>
      </c>
      <c r="D19" s="51">
        <v>3573</v>
      </c>
      <c r="E19" s="47">
        <f>D19-C19</f>
        <v>936</v>
      </c>
      <c r="F19" s="47">
        <v>8600</v>
      </c>
      <c r="G19" s="48">
        <f>D19*F19/10000</f>
        <v>3072.78</v>
      </c>
      <c r="H19" s="49">
        <f>I19+J19</f>
        <v>2977.68</v>
      </c>
      <c r="I19" s="49">
        <v>2827.68</v>
      </c>
      <c r="J19" s="61">
        <v>150</v>
      </c>
      <c r="K19" s="48">
        <f>G19-H19</f>
        <v>95.10000000000036</v>
      </c>
      <c r="L19" s="52">
        <f>K19+150</f>
        <v>245.10000000000036</v>
      </c>
      <c r="M19" s="60" t="s">
        <v>57</v>
      </c>
    </row>
    <row r="20" spans="1:13" s="50" customFormat="1" ht="27.75" customHeight="1">
      <c r="A20" s="198"/>
      <c r="B20" s="258"/>
      <c r="C20" s="51"/>
      <c r="D20" s="51">
        <v>602</v>
      </c>
      <c r="E20" s="47"/>
      <c r="F20" s="47">
        <v>1500</v>
      </c>
      <c r="G20" s="48">
        <f>D20*F20/10000</f>
        <v>90.3</v>
      </c>
      <c r="H20" s="49">
        <v>156.15</v>
      </c>
      <c r="I20" s="49">
        <v>156.15</v>
      </c>
      <c r="J20" s="49" t="s">
        <v>17</v>
      </c>
      <c r="K20" s="48">
        <f>G20-H20</f>
        <v>-65.85000000000001</v>
      </c>
      <c r="L20" s="48">
        <v>-65.85</v>
      </c>
      <c r="M20" s="53" t="s">
        <v>46</v>
      </c>
    </row>
    <row r="21" spans="1:13" s="50" customFormat="1" ht="54.75" customHeight="1">
      <c r="A21" s="198"/>
      <c r="B21" s="258"/>
      <c r="C21" s="51"/>
      <c r="D21" s="54" t="s">
        <v>17</v>
      </c>
      <c r="E21" s="55"/>
      <c r="F21" s="55" t="s">
        <v>17</v>
      </c>
      <c r="G21" s="55">
        <v>117.35</v>
      </c>
      <c r="H21" s="49">
        <v>195.71</v>
      </c>
      <c r="I21" s="61">
        <v>195.71</v>
      </c>
      <c r="J21" s="49" t="s">
        <v>17</v>
      </c>
      <c r="K21" s="48">
        <f>G21-H21</f>
        <v>-78.36000000000001</v>
      </c>
      <c r="L21" s="62" t="s">
        <v>58</v>
      </c>
      <c r="M21" s="46" t="s">
        <v>54</v>
      </c>
    </row>
    <row r="22" spans="1:13" ht="25.5" customHeight="1" hidden="1">
      <c r="A22" s="28"/>
      <c r="B22" s="37" t="s">
        <v>35</v>
      </c>
      <c r="C22" s="38">
        <f>SUM(C23)</f>
        <v>4086</v>
      </c>
      <c r="D22" s="38">
        <f>SUM(D23)</f>
        <v>4324</v>
      </c>
      <c r="E22" s="39"/>
      <c r="F22" s="28"/>
      <c r="G22" s="40" t="e">
        <f>SUM(G23)</f>
        <v>#REF!</v>
      </c>
      <c r="H22" s="40">
        <f>SUM(H23)</f>
        <v>2778.22</v>
      </c>
      <c r="I22" s="40">
        <f>SUM(I23)</f>
        <v>271.64</v>
      </c>
      <c r="J22" s="40">
        <f>SUM(J23)</f>
        <v>2506.58</v>
      </c>
      <c r="K22" s="40" t="e">
        <f>SUM(K23)</f>
        <v>#REF!</v>
      </c>
      <c r="L22" s="44"/>
      <c r="M22" s="41"/>
    </row>
    <row r="23" spans="1:13" s="2" customFormat="1" ht="36.75" customHeight="1" hidden="1">
      <c r="A23" s="42" t="s">
        <v>9</v>
      </c>
      <c r="B23" s="33" t="s">
        <v>10</v>
      </c>
      <c r="C23" s="34">
        <v>4086</v>
      </c>
      <c r="D23" s="34">
        <v>4324</v>
      </c>
      <c r="E23" s="34">
        <f>D23-C23</f>
        <v>238</v>
      </c>
      <c r="F23" s="34">
        <v>6600</v>
      </c>
      <c r="G23" s="32" t="e">
        <f>#REF!*B23/10000</f>
        <v>#REF!</v>
      </c>
      <c r="H23" s="35">
        <f>I23+J23</f>
        <v>2778.22</v>
      </c>
      <c r="I23" s="35">
        <v>271.64</v>
      </c>
      <c r="J23" s="35">
        <v>2506.58</v>
      </c>
      <c r="K23" s="32" t="e">
        <f>#REF!-H23</f>
        <v>#REF!</v>
      </c>
      <c r="L23" s="45"/>
      <c r="M23" s="41"/>
    </row>
    <row r="24" spans="1:13" ht="41.25" customHeight="1">
      <c r="A24" s="199" t="s">
        <v>11</v>
      </c>
      <c r="B24" s="199"/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233"/>
    </row>
    <row r="25" spans="1:13" ht="24.75" customHeight="1">
      <c r="A25" s="199" t="s">
        <v>53</v>
      </c>
      <c r="B25" s="229"/>
      <c r="C25" s="229"/>
      <c r="D25" s="229"/>
      <c r="E25" s="229"/>
      <c r="F25" s="229"/>
      <c r="G25" s="229"/>
      <c r="H25" s="229"/>
      <c r="I25" s="229"/>
      <c r="J25" s="229"/>
      <c r="K25" s="229"/>
      <c r="L25" s="229"/>
      <c r="M25" s="229"/>
    </row>
    <row r="26" ht="14.25"/>
    <row r="27" ht="14.25"/>
    <row r="28" ht="14.25"/>
    <row r="29" ht="14.25"/>
    <row r="30" ht="14.25"/>
  </sheetData>
  <sheetProtection/>
  <mergeCells count="18">
    <mergeCell ref="A24:M24"/>
    <mergeCell ref="A25:M25"/>
    <mergeCell ref="H4:J4"/>
    <mergeCell ref="K4:K5"/>
    <mergeCell ref="L4:L6"/>
    <mergeCell ref="M4:M5"/>
    <mergeCell ref="A18:A21"/>
    <mergeCell ref="B19:B21"/>
    <mergeCell ref="A1:K1"/>
    <mergeCell ref="A2:M2"/>
    <mergeCell ref="A3:M3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11811023622047245" right="0.11811023622047245" top="0.5511811023622047" bottom="0.35433070866141736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蔡锋</cp:lastModifiedBy>
  <cp:lastPrinted>2021-09-08T02:36:40Z</cp:lastPrinted>
  <dcterms:created xsi:type="dcterms:W3CDTF">2014-07-24T03:04:16Z</dcterms:created>
  <dcterms:modified xsi:type="dcterms:W3CDTF">2021-09-08T02:36:41Z</dcterms:modified>
  <cp:category/>
  <cp:version/>
  <cp:contentType/>
  <cp:contentStatus/>
</cp:coreProperties>
</file>