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dreamsoft\DSOA\temp\"/>
    </mc:Choice>
  </mc:AlternateContent>
  <bookViews>
    <workbookView xWindow="0" yWindow="0" windowWidth="28800" windowHeight="12376" firstSheet="3" activeTab="3"/>
  </bookViews>
  <sheets>
    <sheet name="附件1" sheetId="5" r:id="rId1"/>
    <sheet name="附件2" sheetId="2" r:id="rId2"/>
    <sheet name="附件3" sheetId="3" r:id="rId3"/>
    <sheet name="附件4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3" l="1"/>
  <c r="P10" i="3"/>
  <c r="O10" i="3"/>
  <c r="J10" i="3"/>
  <c r="I10" i="3"/>
  <c r="D10" i="3"/>
  <c r="C10" i="3"/>
  <c r="R9" i="3"/>
  <c r="P9" i="3"/>
  <c r="O9" i="3"/>
  <c r="J9" i="3"/>
  <c r="I9" i="3"/>
  <c r="D9" i="3"/>
  <c r="C9" i="3"/>
  <c r="R8" i="3"/>
  <c r="P8" i="3"/>
  <c r="O8" i="3"/>
  <c r="J8" i="3"/>
  <c r="I8" i="3"/>
  <c r="D8" i="3"/>
  <c r="C8" i="3"/>
  <c r="R7" i="3"/>
  <c r="O7" i="3"/>
  <c r="N7" i="3"/>
  <c r="M7" i="3"/>
  <c r="L7" i="3"/>
  <c r="K7" i="3"/>
  <c r="J7" i="3"/>
  <c r="I7" i="3"/>
  <c r="H7" i="3"/>
  <c r="G7" i="3"/>
  <c r="F7" i="3"/>
  <c r="E7" i="3"/>
  <c r="D7" i="3"/>
  <c r="C7" i="3"/>
  <c r="L34" i="2"/>
  <c r="I34" i="2"/>
  <c r="H34" i="2"/>
  <c r="L33" i="2"/>
  <c r="I33" i="2"/>
  <c r="L32" i="2"/>
  <c r="I32" i="2"/>
  <c r="L31" i="2"/>
  <c r="I31" i="2"/>
  <c r="H31" i="2"/>
  <c r="G31" i="2"/>
  <c r="F31" i="2"/>
  <c r="E31" i="2"/>
  <c r="D31" i="2"/>
  <c r="L30" i="2"/>
  <c r="I30" i="2"/>
  <c r="L29" i="2"/>
  <c r="I29" i="2"/>
  <c r="L28" i="2"/>
  <c r="I28" i="2"/>
  <c r="H28" i="2"/>
  <c r="G28" i="2"/>
  <c r="F28" i="2"/>
  <c r="E28" i="2"/>
  <c r="D28" i="2"/>
  <c r="L27" i="2"/>
  <c r="I27" i="2"/>
  <c r="L26" i="2"/>
  <c r="I26" i="2"/>
  <c r="L25" i="2"/>
  <c r="I25" i="2"/>
  <c r="H25" i="2"/>
  <c r="G25" i="2"/>
  <c r="F25" i="2"/>
  <c r="E25" i="2"/>
  <c r="D25" i="2"/>
  <c r="L24" i="2"/>
  <c r="I24" i="2"/>
  <c r="L23" i="2"/>
  <c r="I23" i="2"/>
  <c r="L22" i="2"/>
  <c r="I22" i="2"/>
  <c r="L21" i="2"/>
  <c r="I21" i="2"/>
  <c r="L20" i="2"/>
  <c r="I20" i="2"/>
  <c r="H20" i="2"/>
  <c r="G20" i="2"/>
  <c r="F20" i="2"/>
  <c r="E20" i="2"/>
  <c r="D20" i="2"/>
  <c r="L19" i="2"/>
  <c r="I19" i="2"/>
  <c r="L18" i="2"/>
  <c r="I18" i="2"/>
  <c r="L17" i="2"/>
  <c r="I17" i="2"/>
  <c r="L16" i="2"/>
  <c r="I16" i="2"/>
  <c r="H16" i="2"/>
  <c r="G16" i="2"/>
  <c r="F16" i="2"/>
  <c r="E16" i="2"/>
  <c r="D16" i="2"/>
  <c r="L15" i="2"/>
  <c r="I15" i="2"/>
  <c r="L14" i="2"/>
  <c r="I14" i="2"/>
  <c r="L13" i="2"/>
  <c r="I13" i="2"/>
  <c r="L12" i="2"/>
  <c r="I12" i="2"/>
  <c r="L11" i="2"/>
  <c r="I11" i="2"/>
  <c r="L10" i="2"/>
  <c r="I10" i="2"/>
  <c r="L9" i="2"/>
  <c r="I9" i="2"/>
  <c r="L8" i="2"/>
  <c r="H8" i="2"/>
  <c r="G8" i="2"/>
  <c r="F8" i="2"/>
  <c r="E8" i="2"/>
  <c r="D8" i="2"/>
  <c r="L7" i="2"/>
  <c r="I7" i="2"/>
  <c r="H7" i="2"/>
  <c r="G7" i="2"/>
  <c r="F7" i="2"/>
  <c r="E7" i="2"/>
  <c r="D7" i="2"/>
  <c r="D5" i="5"/>
</calcChain>
</file>

<file path=xl/sharedStrings.xml><?xml version="1.0" encoding="utf-8"?>
<sst xmlns="http://schemas.openxmlformats.org/spreadsheetml/2006/main" count="186" uniqueCount="118">
  <si>
    <t>附件1</t>
  </si>
  <si>
    <t>2024年非常规天然气中央奖补资金清算汇总表</t>
  </si>
  <si>
    <t>单位：万元</t>
  </si>
  <si>
    <t>序号</t>
  </si>
  <si>
    <t>区县</t>
  </si>
  <si>
    <t>2024年清算金额</t>
  </si>
  <si>
    <t>合计</t>
  </si>
  <si>
    <t>大足区</t>
  </si>
  <si>
    <t>丰都县</t>
  </si>
  <si>
    <t>涪陵区</t>
  </si>
  <si>
    <t>梁平区</t>
  </si>
  <si>
    <t>南川区</t>
  </si>
  <si>
    <t>彭水县</t>
  </si>
  <si>
    <t>綦江区</t>
  </si>
  <si>
    <t>荣昌区</t>
  </si>
  <si>
    <t>石柱县</t>
  </si>
  <si>
    <t>铜梁区</t>
  </si>
  <si>
    <t>万盛经开区</t>
  </si>
  <si>
    <t>武隆区</t>
  </si>
  <si>
    <t>永川区</t>
  </si>
  <si>
    <t>忠县</t>
  </si>
  <si>
    <t>附件2</t>
  </si>
  <si>
    <t>2024年非常规天然气中央奖补资金清算明细表</t>
  </si>
  <si>
    <t>单位：万立方米、万元</t>
  </si>
  <si>
    <t>公司名称</t>
  </si>
  <si>
    <t>所在区县</t>
  </si>
  <si>
    <t>开采利用量（万立方米）</t>
  </si>
  <si>
    <t>2024年清算金额（万元）</t>
  </si>
  <si>
    <t>2023年</t>
  </si>
  <si>
    <t>2024年</t>
  </si>
  <si>
    <t>应补助</t>
  </si>
  <si>
    <t>渝财产业〔2023〕135号已预拨</t>
  </si>
  <si>
    <t>渝财产业〔2024〕73号已预拨</t>
  </si>
  <si>
    <t>本次拨付</t>
  </si>
  <si>
    <t>全年</t>
  </si>
  <si>
    <t>取暖季</t>
  </si>
  <si>
    <t>奖补气量</t>
  </si>
  <si>
    <t>一</t>
  </si>
  <si>
    <t>中石化江汉油田分公司</t>
  </si>
  <si>
    <t>小计</t>
  </si>
  <si>
    <t>中石化重庆涪陵页岩气勘探开发有限公司</t>
  </si>
  <si>
    <t>中石化江汉油气田分公司采气一厂</t>
  </si>
  <si>
    <t>二</t>
  </si>
  <si>
    <t>中石化华东油气分公司</t>
  </si>
  <si>
    <t>中石化重庆页岩气有限公司</t>
  </si>
  <si>
    <t>三</t>
  </si>
  <si>
    <t>中石化西南油气分公司</t>
  </si>
  <si>
    <t>四</t>
  </si>
  <si>
    <t>重庆页岩气勘探开发有限责任公司</t>
  </si>
  <si>
    <t>五</t>
  </si>
  <si>
    <t>中石油西南油气田公司重庆气矿</t>
  </si>
  <si>
    <t>六</t>
  </si>
  <si>
    <t>中石油西南油气田公司蜀南气矿</t>
  </si>
  <si>
    <t>七</t>
  </si>
  <si>
    <t>中石油浙江油田分公司</t>
  </si>
  <si>
    <t>附件3</t>
  </si>
  <si>
    <t>2025年非常规天然气开采利用中央奖补资金预拨情况表</t>
  </si>
  <si>
    <t>开发利用量（万立方米）</t>
  </si>
  <si>
    <t>2025年预拨金额（万元）</t>
  </si>
  <si>
    <t>2025年预计</t>
  </si>
  <si>
    <t>拟预拨</t>
  </si>
  <si>
    <t>渝财产业〔2024〕177号已预拨</t>
  </si>
  <si>
    <t>全年小计（页岩气+煤层气*1.5，下同）</t>
  </si>
  <si>
    <t>取暖季小计</t>
  </si>
  <si>
    <t>页岩气全年</t>
  </si>
  <si>
    <t>页岩气取暖季</t>
  </si>
  <si>
    <t>煤层气全年</t>
  </si>
  <si>
    <t>煤层气取暖季</t>
  </si>
  <si>
    <t>全年小计</t>
  </si>
  <si>
    <t>附件4</t>
  </si>
  <si>
    <t>2025年度清洁能源发展专项资金绩效目标表</t>
  </si>
  <si>
    <t>（2025年度）</t>
  </si>
  <si>
    <t>转移支付名称</t>
  </si>
  <si>
    <t>清洁能源发展专项资金</t>
  </si>
  <si>
    <t>中央主管部门</t>
  </si>
  <si>
    <t>财政部、国家能源局</t>
  </si>
  <si>
    <t>省级财政部门</t>
  </si>
  <si>
    <t>重庆市财政局</t>
  </si>
  <si>
    <t>省级主管部门</t>
  </si>
  <si>
    <t>重庆市能源局</t>
  </si>
  <si>
    <t>资金情况
（万元）</t>
  </si>
  <si>
    <t xml:space="preserve"> 年度金额：</t>
  </si>
  <si>
    <t>其中：中央补助</t>
  </si>
  <si>
    <t>地方资金</t>
  </si>
  <si>
    <t>-</t>
  </si>
  <si>
    <t>年
度
总
体
目
标</t>
  </si>
  <si>
    <t>促进非常规天然气开发利用，加强能源安全供应保障能力，促进我国能源绿色低碳发展。</t>
  </si>
  <si>
    <t>绩
效
指
标</t>
  </si>
  <si>
    <t>一级
指标</t>
  </si>
  <si>
    <t>二级指标</t>
  </si>
  <si>
    <t>三级指标</t>
  </si>
  <si>
    <t>指标值</t>
  </si>
  <si>
    <t>产
出
指
标</t>
  </si>
  <si>
    <t>数量指标</t>
  </si>
  <si>
    <t>煤层气开采利用量</t>
  </si>
  <si>
    <t>≥244万立方米</t>
  </si>
  <si>
    <t>页岩气开采利用量</t>
  </si>
  <si>
    <t>≥972141万立方米</t>
  </si>
  <si>
    <t>质量指标</t>
  </si>
  <si>
    <t>非常规天然气质量是否符合国家标准</t>
  </si>
  <si>
    <t>是</t>
  </si>
  <si>
    <t>时效指标</t>
  </si>
  <si>
    <t>采暖季非常规天然气开采利用量占比</t>
  </si>
  <si>
    <t>&gt;30%</t>
  </si>
  <si>
    <t>成本指标</t>
  </si>
  <si>
    <t>勘探开发成本是否下降</t>
  </si>
  <si>
    <t>效
益
指
标</t>
  </si>
  <si>
    <t>经济效益指标</t>
  </si>
  <si>
    <t>是否促进相关企业增加投资</t>
  </si>
  <si>
    <t>社会效益指标</t>
  </si>
  <si>
    <t>非常规天然气开采项目重大安全生产事故数</t>
  </si>
  <si>
    <t>0次</t>
  </si>
  <si>
    <t>生态效益指标</t>
  </si>
  <si>
    <t>是否促进能源结构绿色低碳转型</t>
  </si>
  <si>
    <t>满意度指标</t>
  </si>
  <si>
    <t>服务对象
满意度指标</t>
  </si>
  <si>
    <t>项目实施地周边群众满意度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</si>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</sst>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.00_);[Red]\(0.00\)"/>
    <numFmt numFmtId="179" formatCode="0_);[Red]\(0\)"/>
    <numFmt numFmtId="180" formatCode="0_ "/>
  </numFmts>
  <fonts count="28">
    <font>
      <sz val="11"/>
      <color theme="1"/>
      <name val="等线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6"/>
      <color theme="1"/>
      <name val="方正黑体_GBK"/>
      <family val="4"/>
      <charset val="134"/>
    </font>
    <font>
      <sz val="12"/>
      <name val="黑体"/>
      <family val="3"/>
      <charset val="134"/>
    </font>
    <font>
      <sz val="12"/>
      <name val="方正仿宋_GBK"/>
      <family val="4"/>
      <charset val="134"/>
    </font>
    <font>
      <sz val="11"/>
      <color theme="1"/>
      <name val="方正黑体_GBK"/>
      <family val="4"/>
      <charset val="134"/>
    </font>
    <font>
      <sz val="20"/>
      <color theme="1"/>
      <name val="方正小标宋_GBK"/>
      <family val="4"/>
      <charset val="134"/>
    </font>
    <font>
      <sz val="11"/>
      <color theme="1"/>
      <name val="方正仿宋_GBK"/>
      <family val="4"/>
      <charset val="134"/>
    </font>
    <font>
      <sz val="10"/>
      <color rgb="FF000000"/>
      <name val="方正黑体_GBK"/>
      <family val="4"/>
      <charset val="134"/>
    </font>
    <font>
      <sz val="10"/>
      <color theme="1"/>
      <name val="方正黑体_GBK"/>
      <family val="4"/>
      <charset val="134"/>
    </font>
    <font>
      <sz val="10"/>
      <color rgb="FF000000"/>
      <name val="方正仿宋_GBK"/>
      <family val="4"/>
      <charset val="134"/>
    </font>
    <font>
      <sz val="10"/>
      <color theme="1"/>
      <name val="方正仿宋_GBK"/>
      <family val="4"/>
      <charset val="134"/>
    </font>
    <font>
      <b/>
      <sz val="11"/>
      <color theme="1"/>
      <name val="等线"/>
      <family val="3"/>
      <charset val="134"/>
      <scheme val="minor"/>
    </font>
    <font>
      <sz val="12"/>
      <name val="方正黑体_GBK"/>
      <family val="4"/>
      <charset val="134"/>
    </font>
    <font>
      <sz val="11"/>
      <name val="等线"/>
      <family val="3"/>
      <charset val="134"/>
      <scheme val="minor"/>
    </font>
    <font>
      <sz val="20"/>
      <name val="方正小标宋_GBK"/>
      <family val="4"/>
      <charset val="134"/>
    </font>
    <font>
      <sz val="10"/>
      <name val="方正黑体_GBK"/>
      <family val="4"/>
      <charset val="134"/>
    </font>
    <font>
      <b/>
      <sz val="10"/>
      <name val="方正仿宋_GBK"/>
      <family val="4"/>
      <charset val="134"/>
    </font>
    <font>
      <sz val="10"/>
      <name val="方正仿宋_GBK"/>
      <family val="4"/>
      <charset val="134"/>
    </font>
    <font>
      <sz val="11"/>
      <name val="方正仿宋_GBK"/>
      <family val="4"/>
      <charset val="134"/>
    </font>
    <font>
      <sz val="10"/>
      <name val="等线"/>
      <family val="3"/>
      <charset val="134"/>
      <scheme val="minor"/>
    </font>
    <font>
      <b/>
      <sz val="11"/>
      <color theme="1"/>
      <name val="方正仿宋_GBK"/>
      <family val="4"/>
      <charset val="134"/>
    </font>
    <font>
      <sz val="12"/>
      <color theme="1"/>
      <name val="方正黑体_GBK"/>
      <family val="4"/>
      <charset val="134"/>
    </font>
    <font>
      <b/>
      <sz val="12"/>
      <color theme="1"/>
      <name val="方正仿宋_GBK"/>
      <family val="4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name val="方正楷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9" fontId="25" fillId="0" borderId="0" applyFont="0" applyFill="0" applyBorder="0" applyAlignment="0" applyProtection="0">
      <alignment vertical="center"/>
    </xf>
    <xf numFmtId="0" fontId="25" fillId="0" borderId="0"/>
    <xf numFmtId="0" fontId="2" fillId="0" borderId="0"/>
  </cellStyleXfs>
  <cellXfs count="86">
    <xf numFmtId="0" fontId="0" fillId="0" borderId="0" xfId="0"/>
    <xf numFmtId="0" fontId="1" fillId="0" borderId="0" xfId="3" applyFont="1" applyAlignment="1">
      <alignment vertical="center" wrapText="1"/>
    </xf>
    <xf numFmtId="0" fontId="2" fillId="0" borderId="0" xfId="3" applyFont="1" applyFill="1" applyBorder="1" applyAlignment="1">
      <alignment vertical="center" wrapText="1"/>
    </xf>
    <xf numFmtId="0" fontId="2" fillId="0" borderId="0" xfId="3" applyAlignment="1">
      <alignment vertical="center" wrapText="1"/>
    </xf>
    <xf numFmtId="0" fontId="2" fillId="0" borderId="0" xfId="3" applyAlignment="1">
      <alignment horizontal="center" vertical="center" wrapText="1"/>
    </xf>
    <xf numFmtId="0" fontId="3" fillId="0" borderId="0" xfId="2" applyFont="1" applyFill="1" applyAlignment="1">
      <alignment vertical="center" wrapText="1"/>
    </xf>
    <xf numFmtId="0" fontId="4" fillId="0" borderId="0" xfId="3" applyFont="1" applyAlignment="1">
      <alignment vertical="center" wrapText="1"/>
    </xf>
    <xf numFmtId="0" fontId="1" fillId="0" borderId="1" xfId="3" applyFont="1" applyBorder="1" applyAlignment="1">
      <alignment vertical="center"/>
    </xf>
    <xf numFmtId="0" fontId="1" fillId="0" borderId="1" xfId="3" applyFont="1" applyBorder="1" applyAlignment="1">
      <alignment vertical="center" wrapText="1"/>
    </xf>
    <xf numFmtId="0" fontId="1" fillId="0" borderId="0" xfId="3" applyFont="1" applyBorder="1" applyAlignment="1">
      <alignment vertical="center" wrapText="1"/>
    </xf>
    <xf numFmtId="0" fontId="1" fillId="0" borderId="0" xfId="3" applyFont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left" vertical="center" wrapText="1"/>
    </xf>
    <xf numFmtId="0" fontId="5" fillId="0" borderId="2" xfId="3" applyFont="1" applyFill="1" applyBorder="1" applyAlignment="1">
      <alignment horizontal="center" vertical="center" wrapText="1"/>
    </xf>
    <xf numFmtId="9" fontId="5" fillId="0" borderId="2" xfId="3" applyNumberFormat="1" applyFont="1" applyFill="1" applyBorder="1" applyAlignment="1">
      <alignment horizontal="center" vertical="center" wrapText="1"/>
    </xf>
    <xf numFmtId="0" fontId="6" fillId="0" borderId="0" xfId="2" applyFont="1"/>
    <xf numFmtId="0" fontId="0" fillId="0" borderId="0" xfId="2" applyFont="1" applyFill="1"/>
    <xf numFmtId="0" fontId="25" fillId="0" borderId="0" xfId="2" applyFill="1"/>
    <xf numFmtId="0" fontId="25" fillId="0" borderId="0" xfId="2"/>
    <xf numFmtId="0" fontId="8" fillId="0" borderId="0" xfId="2" applyFont="1" applyAlignment="1">
      <alignment vertical="center"/>
    </xf>
    <xf numFmtId="178" fontId="8" fillId="0" borderId="0" xfId="2" applyNumberFormat="1" applyFont="1" applyAlignment="1">
      <alignment vertical="center"/>
    </xf>
    <xf numFmtId="0" fontId="9" fillId="0" borderId="2" xfId="2" applyFont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179" fontId="10" fillId="0" borderId="2" xfId="2" applyNumberFormat="1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1" fontId="11" fillId="0" borderId="2" xfId="2" applyNumberFormat="1" applyFont="1" applyBorder="1" applyAlignment="1">
      <alignment horizontal="center" vertical="center" wrapText="1"/>
    </xf>
    <xf numFmtId="179" fontId="12" fillId="0" borderId="2" xfId="2" applyNumberFormat="1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179" fontId="12" fillId="0" borderId="2" xfId="2" applyNumberFormat="1" applyFont="1" applyBorder="1" applyAlignment="1">
      <alignment horizontal="center" vertical="center"/>
    </xf>
    <xf numFmtId="179" fontId="25" fillId="0" borderId="0" xfId="2" applyNumberFormat="1"/>
    <xf numFmtId="0" fontId="13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14" fillId="0" borderId="0" xfId="0" applyFont="1" applyFill="1" applyAlignment="1">
      <alignment vertical="center"/>
    </xf>
    <xf numFmtId="0" fontId="15" fillId="0" borderId="0" xfId="0" applyFont="1" applyFill="1"/>
    <xf numFmtId="0" fontId="17" fillId="0" borderId="2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/>
    </xf>
    <xf numFmtId="180" fontId="12" fillId="2" borderId="2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/>
    <xf numFmtId="1" fontId="0" fillId="0" borderId="0" xfId="0" applyNumberFormat="1" applyFill="1"/>
    <xf numFmtId="0" fontId="15" fillId="0" borderId="0" xfId="0" applyFont="1" applyFill="1" applyAlignment="1">
      <alignment horizontal="center"/>
    </xf>
    <xf numFmtId="0" fontId="20" fillId="0" borderId="0" xfId="0" applyFont="1" applyFill="1" applyAlignment="1">
      <alignment horizontal="right" vertical="center"/>
    </xf>
    <xf numFmtId="0" fontId="19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" fontId="18" fillId="0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22" fillId="0" borderId="0" xfId="0" applyFont="1"/>
    <xf numFmtId="0" fontId="23" fillId="0" borderId="0" xfId="0" applyFont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2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7" fillId="0" borderId="0" xfId="2" applyFont="1" applyAlignment="1">
      <alignment horizontal="center" vertical="center"/>
    </xf>
    <xf numFmtId="178" fontId="10" fillId="0" borderId="2" xfId="2" applyNumberFormat="1" applyFont="1" applyBorder="1" applyAlignment="1">
      <alignment horizontal="center" vertical="center"/>
    </xf>
    <xf numFmtId="178" fontId="10" fillId="0" borderId="2" xfId="2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left" vertical="center" wrapText="1"/>
    </xf>
    <xf numFmtId="0" fontId="16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</cellXfs>
  <cellStyles count="4">
    <cellStyle name="百分比 2" xfId="1"/>
    <cellStyle name="常规" xfId="0" builtinId="0"/>
    <cellStyle name="常规 2" xfId="2"/>
    <cellStyle name="常规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www.wps.cn/officeDocument/2023/relationships/customStorage" Target="customStorage/customStorage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workbookViewId="0">
      <selection activeCell="J11" sqref="J11"/>
    </sheetView>
  </sheetViews>
  <sheetFormatPr defaultColWidth="9" defaultRowHeight="21.1" customHeight="1"/>
  <cols>
    <col min="3" max="3" width="37.375" customWidth="1"/>
    <col min="4" max="4" width="28.875" customWidth="1"/>
  </cols>
  <sheetData>
    <row r="1" spans="2:4" ht="21.1" customHeight="1">
      <c r="B1" s="56" t="s">
        <v>0</v>
      </c>
      <c r="C1" s="56"/>
    </row>
    <row r="2" spans="2:4" ht="43" customHeight="1">
      <c r="B2" s="62" t="s">
        <v>1</v>
      </c>
      <c r="C2" s="62"/>
      <c r="D2" s="62"/>
    </row>
    <row r="3" spans="2:4" ht="21.1" customHeight="1">
      <c r="D3" s="57" t="s">
        <v>2</v>
      </c>
    </row>
    <row r="4" spans="2:4" s="54" customFormat="1" ht="21.1" customHeight="1">
      <c r="B4" s="58" t="s">
        <v>3</v>
      </c>
      <c r="C4" s="58" t="s">
        <v>4</v>
      </c>
      <c r="D4" s="59" t="s">
        <v>5</v>
      </c>
    </row>
    <row r="5" spans="2:4" s="55" customFormat="1" ht="21.1" customHeight="1">
      <c r="B5" s="63" t="s">
        <v>6</v>
      </c>
      <c r="C5" s="64"/>
      <c r="D5" s="60">
        <f>SUM(D6:D19)</f>
        <v>-6743</v>
      </c>
    </row>
    <row r="6" spans="2:4" ht="21.1" customHeight="1">
      <c r="B6" s="61">
        <v>1</v>
      </c>
      <c r="C6" s="61" t="s">
        <v>7</v>
      </c>
      <c r="D6" s="61">
        <v>225</v>
      </c>
    </row>
    <row r="7" spans="2:4" ht="21.1" customHeight="1">
      <c r="B7" s="61">
        <v>2</v>
      </c>
      <c r="C7" s="61" t="s">
        <v>8</v>
      </c>
      <c r="D7" s="61">
        <v>-8</v>
      </c>
    </row>
    <row r="8" spans="2:4" ht="21.1" customHeight="1">
      <c r="B8" s="61">
        <v>3</v>
      </c>
      <c r="C8" s="61" t="s">
        <v>9</v>
      </c>
      <c r="D8" s="61">
        <v>2191</v>
      </c>
    </row>
    <row r="9" spans="2:4" ht="21.1" customHeight="1">
      <c r="B9" s="61">
        <v>4</v>
      </c>
      <c r="C9" s="61" t="s">
        <v>10</v>
      </c>
      <c r="D9" s="61">
        <v>392</v>
      </c>
    </row>
    <row r="10" spans="2:4" ht="21.1" customHeight="1">
      <c r="B10" s="61">
        <v>5</v>
      </c>
      <c r="C10" s="61" t="s">
        <v>11</v>
      </c>
      <c r="D10" s="61">
        <v>-304</v>
      </c>
    </row>
    <row r="11" spans="2:4" ht="21.1" customHeight="1">
      <c r="B11" s="61">
        <v>6</v>
      </c>
      <c r="C11" s="61" t="s">
        <v>12</v>
      </c>
      <c r="D11" s="61">
        <v>-4</v>
      </c>
    </row>
    <row r="12" spans="2:4" ht="21.1" customHeight="1">
      <c r="B12" s="61">
        <v>7</v>
      </c>
      <c r="C12" s="61" t="s">
        <v>13</v>
      </c>
      <c r="D12" s="61">
        <v>-863</v>
      </c>
    </row>
    <row r="13" spans="2:4" ht="21.1" customHeight="1">
      <c r="B13" s="61">
        <v>8</v>
      </c>
      <c r="C13" s="61" t="s">
        <v>14</v>
      </c>
      <c r="D13" s="61">
        <v>-6128</v>
      </c>
    </row>
    <row r="14" spans="2:4" ht="21.1" customHeight="1">
      <c r="B14" s="61">
        <v>9</v>
      </c>
      <c r="C14" s="61" t="s">
        <v>15</v>
      </c>
      <c r="D14" s="61">
        <v>3</v>
      </c>
    </row>
    <row r="15" spans="2:4" ht="21.1" customHeight="1">
      <c r="B15" s="61">
        <v>10</v>
      </c>
      <c r="C15" s="61" t="s">
        <v>16</v>
      </c>
      <c r="D15" s="61">
        <v>493</v>
      </c>
    </row>
    <row r="16" spans="2:4" ht="21.1" customHeight="1">
      <c r="B16" s="61">
        <v>11</v>
      </c>
      <c r="C16" s="61" t="s">
        <v>17</v>
      </c>
      <c r="D16" s="61">
        <v>-228</v>
      </c>
    </row>
    <row r="17" spans="2:4" ht="21.1" customHeight="1">
      <c r="B17" s="61">
        <v>12</v>
      </c>
      <c r="C17" s="61" t="s">
        <v>18</v>
      </c>
      <c r="D17" s="61">
        <v>957</v>
      </c>
    </row>
    <row r="18" spans="2:4" ht="21.1" customHeight="1">
      <c r="B18" s="61">
        <v>13</v>
      </c>
      <c r="C18" s="61" t="s">
        <v>19</v>
      </c>
      <c r="D18" s="61">
        <v>-3491</v>
      </c>
    </row>
    <row r="19" spans="2:4" ht="21.1" customHeight="1">
      <c r="B19" s="61">
        <v>14</v>
      </c>
      <c r="C19" s="61" t="s">
        <v>20</v>
      </c>
      <c r="D19" s="61">
        <v>22</v>
      </c>
    </row>
  </sheetData>
  <mergeCells count="2">
    <mergeCell ref="B2:D2"/>
    <mergeCell ref="B5:C5"/>
  </mergeCells>
  <phoneticPr fontId="26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pane xSplit="3" ySplit="6" topLeftCell="D7" activePane="bottomRight" state="frozen"/>
      <selection pane="topRight"/>
      <selection pane="bottomLeft"/>
      <selection pane="bottomRight" activeCell="L8" sqref="L8"/>
    </sheetView>
  </sheetViews>
  <sheetFormatPr defaultColWidth="9" defaultRowHeight="17.350000000000001" customHeight="1"/>
  <cols>
    <col min="1" max="1" width="6.375" style="32" customWidth="1"/>
    <col min="2" max="2" width="41.375" style="32" customWidth="1"/>
    <col min="3" max="3" width="14.75" style="32" customWidth="1"/>
    <col min="4" max="8" width="9.5" style="32" customWidth="1"/>
    <col min="9" max="9" width="9" style="33" customWidth="1"/>
    <col min="10" max="12" width="9" style="32" customWidth="1"/>
    <col min="13" max="16373" width="8.875" style="32"/>
    <col min="16374" max="16384" width="9" style="32"/>
  </cols>
  <sheetData>
    <row r="1" spans="1:12" ht="20.399999999999999" customHeight="1">
      <c r="A1" s="34" t="s">
        <v>21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39.1" customHeight="1">
      <c r="A2" s="65" t="s">
        <v>22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17.350000000000001" customHeight="1">
      <c r="A3" s="35"/>
      <c r="B3" s="35"/>
      <c r="C3" s="35"/>
      <c r="D3" s="35"/>
      <c r="E3" s="35"/>
      <c r="F3" s="35"/>
      <c r="G3" s="35"/>
      <c r="H3" s="35"/>
      <c r="I3" s="49"/>
      <c r="J3" s="35"/>
      <c r="K3" s="35"/>
      <c r="L3" s="50" t="s">
        <v>23</v>
      </c>
    </row>
    <row r="4" spans="1:12" ht="17.350000000000001" customHeight="1">
      <c r="A4" s="70" t="s">
        <v>3</v>
      </c>
      <c r="B4" s="70" t="s">
        <v>24</v>
      </c>
      <c r="C4" s="70" t="s">
        <v>25</v>
      </c>
      <c r="D4" s="66" t="s">
        <v>26</v>
      </c>
      <c r="E4" s="67"/>
      <c r="F4" s="67"/>
      <c r="G4" s="67"/>
      <c r="H4" s="67"/>
      <c r="I4" s="68" t="s">
        <v>27</v>
      </c>
      <c r="J4" s="68"/>
      <c r="K4" s="68"/>
      <c r="L4" s="68"/>
    </row>
    <row r="5" spans="1:12" ht="17.350000000000001" customHeight="1">
      <c r="A5" s="71"/>
      <c r="B5" s="71"/>
      <c r="C5" s="71"/>
      <c r="D5" s="68" t="s">
        <v>28</v>
      </c>
      <c r="E5" s="68"/>
      <c r="F5" s="66" t="s">
        <v>29</v>
      </c>
      <c r="G5" s="67"/>
      <c r="H5" s="69"/>
      <c r="I5" s="68" t="s">
        <v>30</v>
      </c>
      <c r="J5" s="68" t="s">
        <v>31</v>
      </c>
      <c r="K5" s="68" t="s">
        <v>32</v>
      </c>
      <c r="L5" s="68" t="s">
        <v>33</v>
      </c>
    </row>
    <row r="6" spans="1:12" ht="59.45" customHeight="1">
      <c r="A6" s="72"/>
      <c r="B6" s="72"/>
      <c r="C6" s="72"/>
      <c r="D6" s="36" t="s">
        <v>34</v>
      </c>
      <c r="E6" s="36" t="s">
        <v>35</v>
      </c>
      <c r="F6" s="36" t="s">
        <v>34</v>
      </c>
      <c r="G6" s="36" t="s">
        <v>35</v>
      </c>
      <c r="H6" s="36" t="s">
        <v>36</v>
      </c>
      <c r="I6" s="73"/>
      <c r="J6" s="73" t="s">
        <v>31</v>
      </c>
      <c r="K6" s="73" t="s">
        <v>32</v>
      </c>
      <c r="L6" s="73" t="s">
        <v>33</v>
      </c>
    </row>
    <row r="7" spans="1:12" s="31" customFormat="1" ht="17.350000000000001" customHeight="1">
      <c r="A7" s="37"/>
      <c r="B7" s="37" t="s">
        <v>6</v>
      </c>
      <c r="C7" s="37"/>
      <c r="D7" s="38">
        <f t="shared" ref="D7:E7" si="0">D8+D16+D20+D25+D28+D31+D34</f>
        <v>1009229.7134</v>
      </c>
      <c r="E7" s="38">
        <f t="shared" si="0"/>
        <v>342230.85139999999</v>
      </c>
      <c r="F7" s="38">
        <f t="shared" ref="F7:H7" si="1">F8+F16+F20+F25+F28+F31+F34</f>
        <v>1134319</v>
      </c>
      <c r="G7" s="38">
        <f t="shared" si="1"/>
        <v>376822</v>
      </c>
      <c r="H7" s="38">
        <f t="shared" si="1"/>
        <v>1344344.1659250001</v>
      </c>
      <c r="I7" s="38">
        <f>I8+I16+I20+I25+I28+I31+I34</f>
        <v>153819</v>
      </c>
      <c r="J7" s="38">
        <v>131335</v>
      </c>
      <c r="K7" s="38">
        <v>29227</v>
      </c>
      <c r="L7" s="38">
        <f>L8+L16+L20+L25+L28+L31+L34</f>
        <v>-6743</v>
      </c>
    </row>
    <row r="8" spans="1:12" s="31" customFormat="1" ht="17.350000000000001" customHeight="1">
      <c r="A8" s="39" t="s">
        <v>37</v>
      </c>
      <c r="B8" s="39" t="s">
        <v>38</v>
      </c>
      <c r="C8" s="39" t="s">
        <v>39</v>
      </c>
      <c r="D8" s="38">
        <f>SUM(D9:D15)</f>
        <v>682890.99470000004</v>
      </c>
      <c r="E8" s="38">
        <f>SUM(E9:E15)</f>
        <v>229204.7248</v>
      </c>
      <c r="F8" s="38">
        <f>SUM(F9:F15)</f>
        <v>665178</v>
      </c>
      <c r="G8" s="38">
        <f>SUM(G9:G15)</f>
        <v>210992</v>
      </c>
      <c r="H8" s="38">
        <f>D8+(F8-D8)*1.25</f>
        <v>660749.75132499996</v>
      </c>
      <c r="I8" s="38">
        <v>75602</v>
      </c>
      <c r="J8" s="38">
        <v>66836</v>
      </c>
      <c r="K8" s="38">
        <v>6767</v>
      </c>
      <c r="L8" s="38">
        <f>SUM(L9:L15)</f>
        <v>1999</v>
      </c>
    </row>
    <row r="9" spans="1:12" ht="17.350000000000001" customHeight="1">
      <c r="A9" s="40">
        <v>1</v>
      </c>
      <c r="B9" s="40" t="s">
        <v>40</v>
      </c>
      <c r="C9" s="40" t="s">
        <v>9</v>
      </c>
      <c r="D9" s="41">
        <v>617644.78659999999</v>
      </c>
      <c r="E9" s="41">
        <v>207674.3872</v>
      </c>
      <c r="F9" s="42">
        <v>570025</v>
      </c>
      <c r="G9" s="42">
        <v>181644</v>
      </c>
      <c r="H9" s="43"/>
      <c r="I9" s="41">
        <f>ROUND(F9/665178*75603,0)</f>
        <v>64788</v>
      </c>
      <c r="J9" s="51">
        <v>55754</v>
      </c>
      <c r="K9" s="43">
        <v>6843</v>
      </c>
      <c r="L9" s="41">
        <f>I9-J9-K9</f>
        <v>2191</v>
      </c>
    </row>
    <row r="10" spans="1:12" ht="17.350000000000001" customHeight="1">
      <c r="A10" s="40">
        <v>2</v>
      </c>
      <c r="B10" s="40" t="s">
        <v>40</v>
      </c>
      <c r="C10" s="40" t="s">
        <v>11</v>
      </c>
      <c r="D10" s="41">
        <v>29382.335599999999</v>
      </c>
      <c r="E10" s="41">
        <v>9306.9146999999994</v>
      </c>
      <c r="F10" s="42">
        <v>38467</v>
      </c>
      <c r="G10" s="42">
        <v>11669</v>
      </c>
      <c r="H10" s="43"/>
      <c r="I10" s="41">
        <f t="shared" ref="I10:I15" si="2">ROUND(F10/665178*75603,0)</f>
        <v>4372</v>
      </c>
      <c r="J10" s="51">
        <v>5338</v>
      </c>
      <c r="K10" s="43">
        <v>225</v>
      </c>
      <c r="L10" s="41">
        <f t="shared" ref="L10:L15" si="3">I10-J10-K10</f>
        <v>-1191</v>
      </c>
    </row>
    <row r="11" spans="1:12" ht="17.350000000000001" customHeight="1">
      <c r="A11" s="40">
        <v>3</v>
      </c>
      <c r="B11" s="40" t="s">
        <v>40</v>
      </c>
      <c r="C11" s="40" t="s">
        <v>18</v>
      </c>
      <c r="D11" s="41">
        <v>32652.497200000002</v>
      </c>
      <c r="E11" s="41">
        <v>11404.675800000001</v>
      </c>
      <c r="F11" s="42">
        <v>52396</v>
      </c>
      <c r="G11" s="42">
        <v>16378</v>
      </c>
      <c r="H11" s="43"/>
      <c r="I11" s="41">
        <f t="shared" si="2"/>
        <v>5955</v>
      </c>
      <c r="J11" s="51">
        <v>5151</v>
      </c>
      <c r="K11" s="43">
        <v>-178</v>
      </c>
      <c r="L11" s="41">
        <f t="shared" si="3"/>
        <v>982</v>
      </c>
    </row>
    <row r="12" spans="1:12" ht="17.350000000000001" customHeight="1">
      <c r="A12" s="40">
        <v>4</v>
      </c>
      <c r="B12" s="40" t="s">
        <v>40</v>
      </c>
      <c r="C12" s="40" t="s">
        <v>8</v>
      </c>
      <c r="D12" s="41">
        <v>469.12580000000003</v>
      </c>
      <c r="E12" s="41">
        <v>100.9355</v>
      </c>
      <c r="F12" s="42">
        <v>584</v>
      </c>
      <c r="G12" s="42">
        <v>163</v>
      </c>
      <c r="H12" s="43"/>
      <c r="I12" s="41">
        <f t="shared" si="2"/>
        <v>66</v>
      </c>
      <c r="J12" s="51">
        <v>123</v>
      </c>
      <c r="K12" s="43">
        <v>-49</v>
      </c>
      <c r="L12" s="41">
        <f t="shared" si="3"/>
        <v>-8</v>
      </c>
    </row>
    <row r="13" spans="1:12" ht="17.350000000000001" customHeight="1">
      <c r="A13" s="40">
        <v>5</v>
      </c>
      <c r="B13" s="40" t="s">
        <v>40</v>
      </c>
      <c r="C13" s="40" t="s">
        <v>20</v>
      </c>
      <c r="D13" s="41">
        <v>1169.2494999999999</v>
      </c>
      <c r="E13" s="41">
        <v>360.8116</v>
      </c>
      <c r="F13" s="44">
        <v>1056</v>
      </c>
      <c r="G13" s="44">
        <v>348</v>
      </c>
      <c r="H13" s="43"/>
      <c r="I13" s="41">
        <f t="shared" si="2"/>
        <v>120</v>
      </c>
      <c r="J13" s="51">
        <v>390</v>
      </c>
      <c r="K13" s="43">
        <v>-292</v>
      </c>
      <c r="L13" s="41">
        <f t="shared" si="3"/>
        <v>22</v>
      </c>
    </row>
    <row r="14" spans="1:12" ht="17.350000000000001" customHeight="1">
      <c r="A14" s="40">
        <v>6</v>
      </c>
      <c r="B14" s="45" t="s">
        <v>40</v>
      </c>
      <c r="C14" s="45" t="s">
        <v>10</v>
      </c>
      <c r="D14" s="43">
        <v>0</v>
      </c>
      <c r="E14" s="43">
        <v>0</v>
      </c>
      <c r="F14" s="44">
        <v>0</v>
      </c>
      <c r="G14" s="44">
        <v>0</v>
      </c>
      <c r="H14" s="43"/>
      <c r="I14" s="41">
        <f t="shared" si="2"/>
        <v>0</v>
      </c>
      <c r="J14" s="51">
        <v>80</v>
      </c>
      <c r="K14" s="43">
        <v>-80</v>
      </c>
      <c r="L14" s="41">
        <f t="shared" si="3"/>
        <v>0</v>
      </c>
    </row>
    <row r="15" spans="1:12" s="31" customFormat="1" ht="17.350000000000001" customHeight="1">
      <c r="A15" s="40">
        <v>7</v>
      </c>
      <c r="B15" s="46" t="s">
        <v>41</v>
      </c>
      <c r="C15" s="46" t="s">
        <v>15</v>
      </c>
      <c r="D15" s="41">
        <v>1573</v>
      </c>
      <c r="E15" s="41">
        <v>357</v>
      </c>
      <c r="F15" s="44">
        <v>2650</v>
      </c>
      <c r="G15" s="44">
        <v>790</v>
      </c>
      <c r="H15" s="47"/>
      <c r="I15" s="41">
        <f t="shared" si="2"/>
        <v>301</v>
      </c>
      <c r="J15" s="51">
        <v>0</v>
      </c>
      <c r="K15" s="43">
        <v>298</v>
      </c>
      <c r="L15" s="41">
        <f t="shared" si="3"/>
        <v>3</v>
      </c>
    </row>
    <row r="16" spans="1:12" ht="17.350000000000001" customHeight="1">
      <c r="A16" s="39" t="s">
        <v>42</v>
      </c>
      <c r="B16" s="39" t="s">
        <v>43</v>
      </c>
      <c r="C16" s="39" t="s">
        <v>39</v>
      </c>
      <c r="D16" s="38">
        <f t="shared" ref="D16:G16" si="4">SUM(D17:D19)</f>
        <v>145175.58009999999</v>
      </c>
      <c r="E16" s="38">
        <f t="shared" si="4"/>
        <v>48315.713600000003</v>
      </c>
      <c r="F16" s="38">
        <f t="shared" si="4"/>
        <v>167843</v>
      </c>
      <c r="G16" s="38">
        <f t="shared" si="4"/>
        <v>56954</v>
      </c>
      <c r="H16" s="38">
        <f>D16+(G16-E16)*1.5+(F16-D16)*1.75</f>
        <v>197800.99452499999</v>
      </c>
      <c r="I16" s="38">
        <f>ROUND(H16/1344344*153819,0)</f>
        <v>22632</v>
      </c>
      <c r="J16" s="38">
        <v>14927</v>
      </c>
      <c r="K16" s="38">
        <v>6847</v>
      </c>
      <c r="L16" s="38">
        <f>SUM(L17:L19)</f>
        <v>858</v>
      </c>
    </row>
    <row r="17" spans="1:12" ht="17.350000000000001" customHeight="1">
      <c r="A17" s="40">
        <v>1</v>
      </c>
      <c r="B17" s="40" t="s">
        <v>44</v>
      </c>
      <c r="C17" s="40" t="s">
        <v>18</v>
      </c>
      <c r="D17" s="41">
        <v>5022.7560000000003</v>
      </c>
      <c r="E17" s="41">
        <v>1328.5238999999999</v>
      </c>
      <c r="F17" s="44">
        <v>4180</v>
      </c>
      <c r="G17" s="44">
        <v>1450</v>
      </c>
      <c r="H17" s="43"/>
      <c r="I17" s="41">
        <f>ROUND(F17/167843*22632,0)</f>
        <v>564</v>
      </c>
      <c r="J17" s="51">
        <v>717</v>
      </c>
      <c r="K17" s="43">
        <v>-128</v>
      </c>
      <c r="L17" s="41">
        <f>I17-J17-K17</f>
        <v>-25</v>
      </c>
    </row>
    <row r="18" spans="1:12" ht="17.350000000000001" customHeight="1">
      <c r="A18" s="40">
        <v>2</v>
      </c>
      <c r="B18" s="40" t="s">
        <v>44</v>
      </c>
      <c r="C18" s="40" t="s">
        <v>11</v>
      </c>
      <c r="D18" s="41">
        <v>139754.9436</v>
      </c>
      <c r="E18" s="41">
        <v>46840.207199999997</v>
      </c>
      <c r="F18" s="44">
        <v>163238</v>
      </c>
      <c r="G18" s="44">
        <v>55387</v>
      </c>
      <c r="H18" s="43"/>
      <c r="I18" s="41">
        <f t="shared" ref="I18:I19" si="5">ROUND(F18/167843*22632,0)</f>
        <v>22011</v>
      </c>
      <c r="J18" s="51">
        <v>14174</v>
      </c>
      <c r="K18" s="43">
        <v>6950</v>
      </c>
      <c r="L18" s="41">
        <f t="shared" ref="L18:L19" si="6">I18-J18-K18</f>
        <v>887</v>
      </c>
    </row>
    <row r="19" spans="1:12" s="31" customFormat="1" ht="17.350000000000001" customHeight="1">
      <c r="A19" s="40">
        <v>3</v>
      </c>
      <c r="B19" s="40" t="s">
        <v>44</v>
      </c>
      <c r="C19" s="40" t="s">
        <v>12</v>
      </c>
      <c r="D19" s="41">
        <v>397.88049999999998</v>
      </c>
      <c r="E19" s="41">
        <v>146.98249999999999</v>
      </c>
      <c r="F19" s="44">
        <v>425</v>
      </c>
      <c r="G19" s="44">
        <v>117</v>
      </c>
      <c r="H19" s="43"/>
      <c r="I19" s="41">
        <f t="shared" si="5"/>
        <v>57</v>
      </c>
      <c r="J19" s="51">
        <v>36</v>
      </c>
      <c r="K19" s="43">
        <v>25</v>
      </c>
      <c r="L19" s="41">
        <f t="shared" si="6"/>
        <v>-4</v>
      </c>
    </row>
    <row r="20" spans="1:12" ht="17.350000000000001" customHeight="1">
      <c r="A20" s="39" t="s">
        <v>45</v>
      </c>
      <c r="B20" s="39" t="s">
        <v>46</v>
      </c>
      <c r="C20" s="39" t="s">
        <v>39</v>
      </c>
      <c r="D20" s="38">
        <f t="shared" ref="D20:G20" si="7">SUM(D21:D24)</f>
        <v>46047.712699999996</v>
      </c>
      <c r="E20" s="38">
        <f t="shared" si="7"/>
        <v>15971.1942</v>
      </c>
      <c r="F20" s="38">
        <f t="shared" si="7"/>
        <v>53599</v>
      </c>
      <c r="G20" s="38">
        <f t="shared" si="7"/>
        <v>18913</v>
      </c>
      <c r="H20" s="38">
        <f>D20+(G20-E20)*1.5+(F20-D20)*1.75</f>
        <v>63675.174175</v>
      </c>
      <c r="I20" s="38">
        <f>ROUND(H20/1344344*153819,0)</f>
        <v>7286</v>
      </c>
      <c r="J20" s="38">
        <v>7527</v>
      </c>
      <c r="K20" s="38">
        <v>1553</v>
      </c>
      <c r="L20" s="38">
        <f>SUM(L21:L24)</f>
        <v>-1794</v>
      </c>
    </row>
    <row r="21" spans="1:12" ht="17.350000000000001" customHeight="1">
      <c r="A21" s="40">
        <v>1</v>
      </c>
      <c r="B21" s="40" t="s">
        <v>46</v>
      </c>
      <c r="C21" s="40" t="s">
        <v>13</v>
      </c>
      <c r="D21" s="41">
        <v>19321.377199999999</v>
      </c>
      <c r="E21" s="41">
        <v>5837.42</v>
      </c>
      <c r="F21" s="44">
        <v>22376</v>
      </c>
      <c r="G21" s="44">
        <v>7458</v>
      </c>
      <c r="H21" s="43"/>
      <c r="I21" s="41">
        <f>ROUND(F21/53599*7286,0)</f>
        <v>3042</v>
      </c>
      <c r="J21" s="51">
        <v>2744</v>
      </c>
      <c r="K21" s="43">
        <v>1161</v>
      </c>
      <c r="L21" s="41">
        <f>I21-J21-K21</f>
        <v>-863</v>
      </c>
    </row>
    <row r="22" spans="1:12" ht="17.350000000000001" customHeight="1">
      <c r="A22" s="40">
        <v>2</v>
      </c>
      <c r="B22" s="40" t="s">
        <v>46</v>
      </c>
      <c r="C22" s="40" t="s">
        <v>19</v>
      </c>
      <c r="D22" s="41">
        <v>22355.015299999999</v>
      </c>
      <c r="E22" s="41">
        <v>8363.6316999999999</v>
      </c>
      <c r="F22" s="44">
        <v>23093</v>
      </c>
      <c r="G22" s="44">
        <v>7844</v>
      </c>
      <c r="H22" s="43"/>
      <c r="I22" s="41">
        <f t="shared" ref="I22:I24" si="8">ROUND(F22/53599*7286,0)</f>
        <v>3139</v>
      </c>
      <c r="J22" s="51">
        <v>2882</v>
      </c>
      <c r="K22" s="43">
        <v>421</v>
      </c>
      <c r="L22" s="41">
        <f t="shared" ref="L22:L34" si="9">I22-J22-K22</f>
        <v>-164</v>
      </c>
    </row>
    <row r="23" spans="1:12" ht="17.350000000000001" customHeight="1">
      <c r="A23" s="40">
        <v>3</v>
      </c>
      <c r="B23" s="40" t="s">
        <v>46</v>
      </c>
      <c r="C23" s="40" t="s">
        <v>14</v>
      </c>
      <c r="D23" s="41">
        <v>1555.8221000000001</v>
      </c>
      <c r="E23" s="41">
        <v>859.63009999999997</v>
      </c>
      <c r="F23" s="44">
        <v>4325</v>
      </c>
      <c r="G23" s="44">
        <v>1718</v>
      </c>
      <c r="H23" s="43"/>
      <c r="I23" s="41">
        <f t="shared" si="8"/>
        <v>588</v>
      </c>
      <c r="J23" s="51">
        <v>1110</v>
      </c>
      <c r="K23" s="43">
        <v>17</v>
      </c>
      <c r="L23" s="41">
        <f t="shared" si="9"/>
        <v>-539</v>
      </c>
    </row>
    <row r="24" spans="1:12" s="31" customFormat="1" ht="17.350000000000001" customHeight="1">
      <c r="A24" s="40">
        <v>4</v>
      </c>
      <c r="B24" s="40" t="s">
        <v>46</v>
      </c>
      <c r="C24" s="40" t="s">
        <v>17</v>
      </c>
      <c r="D24" s="41">
        <v>2815.4980999999998</v>
      </c>
      <c r="E24" s="41">
        <v>910.51239999999996</v>
      </c>
      <c r="F24" s="44">
        <v>3805</v>
      </c>
      <c r="G24" s="44">
        <v>1893</v>
      </c>
      <c r="H24" s="43"/>
      <c r="I24" s="41">
        <f t="shared" si="8"/>
        <v>517</v>
      </c>
      <c r="J24" s="51">
        <v>791</v>
      </c>
      <c r="K24" s="43">
        <v>-46</v>
      </c>
      <c r="L24" s="41">
        <f t="shared" si="9"/>
        <v>-228</v>
      </c>
    </row>
    <row r="25" spans="1:12" ht="17.350000000000001" customHeight="1">
      <c r="A25" s="39" t="s">
        <v>47</v>
      </c>
      <c r="B25" s="39" t="s">
        <v>48</v>
      </c>
      <c r="C25" s="39" t="s">
        <v>39</v>
      </c>
      <c r="D25" s="38">
        <f t="shared" ref="D25:G25" si="10">SUM(D26:D27)</f>
        <v>79439.6014</v>
      </c>
      <c r="E25" s="38">
        <f t="shared" si="10"/>
        <v>27536.716100000001</v>
      </c>
      <c r="F25" s="38">
        <f t="shared" si="10"/>
        <v>117549</v>
      </c>
      <c r="G25" s="38">
        <f t="shared" si="10"/>
        <v>42680</v>
      </c>
      <c r="H25" s="38">
        <f>D25+(G25-E25)*1.5+(F25-D25)*2</f>
        <v>178373.32444999999</v>
      </c>
      <c r="I25" s="38">
        <f>ROUND(H25/1344344*153819,0)</f>
        <v>20409</v>
      </c>
      <c r="J25" s="38">
        <v>16439</v>
      </c>
      <c r="K25" s="38">
        <v>3252</v>
      </c>
      <c r="L25" s="38">
        <f>SUM(L26:L27)</f>
        <v>718</v>
      </c>
    </row>
    <row r="26" spans="1:12" ht="17.350000000000001" customHeight="1">
      <c r="A26" s="40">
        <v>1</v>
      </c>
      <c r="B26" s="40" t="s">
        <v>48</v>
      </c>
      <c r="C26" s="40" t="s">
        <v>16</v>
      </c>
      <c r="D26" s="41">
        <v>64215.628100000002</v>
      </c>
      <c r="E26" s="41">
        <v>21753.876</v>
      </c>
      <c r="F26" s="44">
        <v>80459</v>
      </c>
      <c r="G26" s="44">
        <v>27434</v>
      </c>
      <c r="H26" s="43"/>
      <c r="I26" s="41">
        <f>ROUND(F26/117549*20409,0)</f>
        <v>13969</v>
      </c>
      <c r="J26" s="51">
        <v>11343</v>
      </c>
      <c r="K26" s="43">
        <v>2133</v>
      </c>
      <c r="L26" s="41">
        <f t="shared" si="9"/>
        <v>493</v>
      </c>
    </row>
    <row r="27" spans="1:12" s="31" customFormat="1" ht="17.350000000000001" customHeight="1">
      <c r="A27" s="40">
        <v>2</v>
      </c>
      <c r="B27" s="40" t="s">
        <v>48</v>
      </c>
      <c r="C27" s="40" t="s">
        <v>7</v>
      </c>
      <c r="D27" s="41">
        <v>15223.9733</v>
      </c>
      <c r="E27" s="41">
        <v>5782.8401000000003</v>
      </c>
      <c r="F27" s="44">
        <v>37090</v>
      </c>
      <c r="G27" s="44">
        <v>15246</v>
      </c>
      <c r="H27" s="43"/>
      <c r="I27" s="41">
        <f>ROUND(F27/117549*20409,0)</f>
        <v>6440</v>
      </c>
      <c r="J27" s="51">
        <v>5096</v>
      </c>
      <c r="K27" s="43">
        <v>1119</v>
      </c>
      <c r="L27" s="41">
        <f t="shared" si="9"/>
        <v>225</v>
      </c>
    </row>
    <row r="28" spans="1:12" ht="17.350000000000001" customHeight="1">
      <c r="A28" s="39" t="s">
        <v>49</v>
      </c>
      <c r="B28" s="39" t="s">
        <v>50</v>
      </c>
      <c r="C28" s="39" t="s">
        <v>39</v>
      </c>
      <c r="D28" s="38">
        <f t="shared" ref="D28:G28" si="11">SUM(D29:D30)</f>
        <v>22930.321800000002</v>
      </c>
      <c r="E28" s="38">
        <f t="shared" si="11"/>
        <v>7252.6332000000002</v>
      </c>
      <c r="F28" s="38">
        <f t="shared" si="11"/>
        <v>46124</v>
      </c>
      <c r="G28" s="38">
        <f t="shared" si="11"/>
        <v>15204</v>
      </c>
      <c r="H28" s="38">
        <f>D28+(G28-E28)*1.5+(F28-D28)*2</f>
        <v>81244.728400000007</v>
      </c>
      <c r="I28" s="38">
        <f>ROUND(H28/1344344*153819,0)</f>
        <v>9296</v>
      </c>
      <c r="J28" s="38">
        <v>10445</v>
      </c>
      <c r="K28" s="38">
        <v>-673</v>
      </c>
      <c r="L28" s="38">
        <f>SUM(L29:L30)</f>
        <v>-476</v>
      </c>
    </row>
    <row r="29" spans="1:12" ht="17.350000000000001" customHeight="1">
      <c r="A29" s="40">
        <v>1</v>
      </c>
      <c r="B29" s="40" t="s">
        <v>50</v>
      </c>
      <c r="C29" s="40" t="s">
        <v>19</v>
      </c>
      <c r="D29" s="41">
        <v>20258</v>
      </c>
      <c r="E29" s="41">
        <v>6397</v>
      </c>
      <c r="F29" s="44">
        <v>41564</v>
      </c>
      <c r="G29" s="44">
        <v>13490</v>
      </c>
      <c r="H29" s="43"/>
      <c r="I29" s="41">
        <f>ROUND(F29/46124*9296,0)</f>
        <v>8377</v>
      </c>
      <c r="J29" s="51">
        <v>9937</v>
      </c>
      <c r="K29" s="43">
        <v>-692</v>
      </c>
      <c r="L29" s="41">
        <f t="shared" si="9"/>
        <v>-868</v>
      </c>
    </row>
    <row r="30" spans="1:12" ht="17.350000000000001" customHeight="1">
      <c r="A30" s="40">
        <v>2</v>
      </c>
      <c r="B30" s="40" t="s">
        <v>50</v>
      </c>
      <c r="C30" s="40" t="s">
        <v>10</v>
      </c>
      <c r="D30" s="41">
        <v>2672.3218000000002</v>
      </c>
      <c r="E30" s="41">
        <v>855.63319999999999</v>
      </c>
      <c r="F30" s="44">
        <v>4560</v>
      </c>
      <c r="G30" s="44">
        <v>1714</v>
      </c>
      <c r="H30" s="43"/>
      <c r="I30" s="41">
        <f>ROUND(F30/46124*9296,0)</f>
        <v>919</v>
      </c>
      <c r="J30" s="51">
        <v>508</v>
      </c>
      <c r="K30" s="43">
        <v>19</v>
      </c>
      <c r="L30" s="41">
        <f t="shared" si="9"/>
        <v>392</v>
      </c>
    </row>
    <row r="31" spans="1:12" s="31" customFormat="1" ht="17.350000000000001" customHeight="1">
      <c r="A31" s="39" t="s">
        <v>51</v>
      </c>
      <c r="B31" s="39" t="s">
        <v>52</v>
      </c>
      <c r="C31" s="39" t="s">
        <v>39</v>
      </c>
      <c r="D31" s="38">
        <f t="shared" ref="D31:G31" si="12">SUM(D32:D33)</f>
        <v>14604.94</v>
      </c>
      <c r="E31" s="38">
        <f t="shared" si="12"/>
        <v>5541.4664000000002</v>
      </c>
      <c r="F31" s="38">
        <f t="shared" si="12"/>
        <v>33138</v>
      </c>
      <c r="G31" s="38">
        <f t="shared" si="12"/>
        <v>12938</v>
      </c>
      <c r="H31" s="38">
        <f>D31+(G31-E31)*1.5+(F31-D31)*2</f>
        <v>62765.860399999998</v>
      </c>
      <c r="I31" s="38">
        <f>ROUND(H31/1344344*153819,0)</f>
        <v>7182</v>
      </c>
      <c r="J31" s="38">
        <v>6032</v>
      </c>
      <c r="K31" s="38">
        <v>6709</v>
      </c>
      <c r="L31" s="38">
        <f>SUM(L32:L33)</f>
        <v>-5559</v>
      </c>
    </row>
    <row r="32" spans="1:12" s="31" customFormat="1" ht="17.350000000000001" customHeight="1">
      <c r="A32" s="39">
        <v>1</v>
      </c>
      <c r="B32" s="40" t="s">
        <v>52</v>
      </c>
      <c r="C32" s="40" t="s">
        <v>14</v>
      </c>
      <c r="D32" s="41">
        <v>14205.019899999999</v>
      </c>
      <c r="E32" s="41">
        <v>5164.7458999999999</v>
      </c>
      <c r="F32" s="44">
        <v>31187</v>
      </c>
      <c r="G32" s="44">
        <v>12096</v>
      </c>
      <c r="H32" s="38"/>
      <c r="I32" s="43">
        <f>ROUND(F32/33138*7182,0)</f>
        <v>6759</v>
      </c>
      <c r="J32" s="51">
        <v>6032</v>
      </c>
      <c r="K32" s="43">
        <v>6316</v>
      </c>
      <c r="L32" s="41">
        <f t="shared" si="9"/>
        <v>-5589</v>
      </c>
    </row>
    <row r="33" spans="1:12" s="31" customFormat="1" ht="17.350000000000001" customHeight="1">
      <c r="A33" s="39">
        <v>2</v>
      </c>
      <c r="B33" s="40" t="s">
        <v>52</v>
      </c>
      <c r="C33" s="40" t="s">
        <v>19</v>
      </c>
      <c r="D33" s="41">
        <v>399.92009999999999</v>
      </c>
      <c r="E33" s="41">
        <v>376.72050000000002</v>
      </c>
      <c r="F33" s="44">
        <v>1951</v>
      </c>
      <c r="G33" s="44">
        <v>842</v>
      </c>
      <c r="H33" s="38"/>
      <c r="I33" s="43">
        <f>ROUND(F33/33138*7182,0)</f>
        <v>423</v>
      </c>
      <c r="J33" s="51">
        <v>0</v>
      </c>
      <c r="K33" s="43">
        <v>393</v>
      </c>
      <c r="L33" s="41">
        <f t="shared" si="9"/>
        <v>30</v>
      </c>
    </row>
    <row r="34" spans="1:12" ht="17.350000000000001" customHeight="1">
      <c r="A34" s="39" t="s">
        <v>53</v>
      </c>
      <c r="B34" s="39" t="s">
        <v>54</v>
      </c>
      <c r="C34" s="39" t="s">
        <v>19</v>
      </c>
      <c r="D34" s="41">
        <v>18140.562699999999</v>
      </c>
      <c r="E34" s="41">
        <v>8408.4030999999995</v>
      </c>
      <c r="F34" s="44">
        <v>50888</v>
      </c>
      <c r="G34" s="44">
        <v>19141</v>
      </c>
      <c r="H34" s="38">
        <f>D34+(G34-E34)*1.5+(F34-D34)*2</f>
        <v>99734.332649999997</v>
      </c>
      <c r="I34" s="38">
        <f>ROUND(H34/1344344*153819,0)</f>
        <v>11412</v>
      </c>
      <c r="J34" s="52">
        <v>9129</v>
      </c>
      <c r="K34" s="38">
        <v>4772</v>
      </c>
      <c r="L34" s="53">
        <f t="shared" si="9"/>
        <v>-2489</v>
      </c>
    </row>
    <row r="35" spans="1:12" ht="17.350000000000001" customHeight="1">
      <c r="F35" s="48"/>
      <c r="G35" s="48"/>
    </row>
  </sheetData>
  <mergeCells count="12">
    <mergeCell ref="A2:L2"/>
    <mergeCell ref="D4:H4"/>
    <mergeCell ref="I4:L4"/>
    <mergeCell ref="D5:E5"/>
    <mergeCell ref="F5:H5"/>
    <mergeCell ref="A4:A6"/>
    <mergeCell ref="B4:B6"/>
    <mergeCell ref="C4:C6"/>
    <mergeCell ref="I5:I6"/>
    <mergeCell ref="J5:J6"/>
    <mergeCell ref="K5:K6"/>
    <mergeCell ref="L5:L6"/>
  </mergeCells>
  <phoneticPr fontId="2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zoomScale="90" zoomScaleNormal="90" workbookViewId="0">
      <pane xSplit="1" ySplit="6" topLeftCell="B7" activePane="bottomRight" state="frozen"/>
      <selection pane="topRight"/>
      <selection pane="bottomLeft"/>
      <selection pane="bottomRight" activeCell="F20" sqref="F20"/>
    </sheetView>
  </sheetViews>
  <sheetFormatPr defaultColWidth="9" defaultRowHeight="25.15" customHeight="1"/>
  <cols>
    <col min="1" max="1" width="8.75" style="18" customWidth="1"/>
    <col min="2" max="2" width="37.875" style="18" customWidth="1"/>
    <col min="3" max="15" width="11" style="18" customWidth="1"/>
    <col min="16" max="18" width="10.125" style="18" customWidth="1"/>
    <col min="19" max="16384" width="9" style="18"/>
  </cols>
  <sheetData>
    <row r="1" spans="1:19" ht="25.15" customHeight="1">
      <c r="A1" s="5" t="s">
        <v>55</v>
      </c>
    </row>
    <row r="2" spans="1:19" ht="25.15" customHeight="1">
      <c r="A2" s="74" t="s">
        <v>56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9" ht="25.15" customHeight="1">
      <c r="A3" s="19"/>
      <c r="B3" s="19"/>
      <c r="C3" s="19"/>
      <c r="D3" s="19"/>
      <c r="E3" s="20"/>
      <c r="F3" s="19"/>
      <c r="G3" s="19"/>
      <c r="H3" s="19"/>
      <c r="I3" s="19"/>
      <c r="J3" s="19"/>
    </row>
    <row r="4" spans="1:19" s="15" customFormat="1" ht="25.15" customHeight="1">
      <c r="A4" s="77" t="s">
        <v>3</v>
      </c>
      <c r="B4" s="77" t="s">
        <v>24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 t="s">
        <v>58</v>
      </c>
      <c r="Q4" s="76"/>
      <c r="R4" s="76"/>
    </row>
    <row r="5" spans="1:19" s="15" customFormat="1" ht="25.15" customHeight="1">
      <c r="A5" s="77"/>
      <c r="B5" s="77" t="s">
        <v>24</v>
      </c>
      <c r="C5" s="77" t="s">
        <v>29</v>
      </c>
      <c r="D5" s="77"/>
      <c r="E5" s="77"/>
      <c r="F5" s="77"/>
      <c r="G5" s="77"/>
      <c r="H5" s="77"/>
      <c r="I5" s="77" t="s">
        <v>59</v>
      </c>
      <c r="J5" s="77"/>
      <c r="K5" s="77"/>
      <c r="L5" s="77"/>
      <c r="M5" s="77"/>
      <c r="N5" s="77"/>
      <c r="O5" s="77"/>
      <c r="P5" s="77" t="s">
        <v>60</v>
      </c>
      <c r="Q5" s="77" t="s">
        <v>61</v>
      </c>
      <c r="R5" s="77" t="s">
        <v>33</v>
      </c>
    </row>
    <row r="6" spans="1:19" s="15" customFormat="1" ht="61" customHeight="1">
      <c r="A6" s="77"/>
      <c r="B6" s="77"/>
      <c r="C6" s="21" t="s">
        <v>62</v>
      </c>
      <c r="D6" s="21" t="s">
        <v>63</v>
      </c>
      <c r="E6" s="22" t="s">
        <v>64</v>
      </c>
      <c r="F6" s="22" t="s">
        <v>65</v>
      </c>
      <c r="G6" s="22" t="s">
        <v>66</v>
      </c>
      <c r="H6" s="22" t="s">
        <v>67</v>
      </c>
      <c r="I6" s="21" t="s">
        <v>68</v>
      </c>
      <c r="J6" s="21" t="s">
        <v>63</v>
      </c>
      <c r="K6" s="22" t="s">
        <v>64</v>
      </c>
      <c r="L6" s="22" t="s">
        <v>65</v>
      </c>
      <c r="M6" s="22" t="s">
        <v>66</v>
      </c>
      <c r="N6" s="22" t="s">
        <v>67</v>
      </c>
      <c r="O6" s="28" t="s">
        <v>36</v>
      </c>
      <c r="P6" s="77"/>
      <c r="Q6" s="77"/>
      <c r="R6" s="77"/>
    </row>
    <row r="7" spans="1:19" ht="25.15" customHeight="1">
      <c r="A7" s="77" t="s">
        <v>6</v>
      </c>
      <c r="B7" s="77"/>
      <c r="C7" s="23">
        <f t="shared" ref="C7" si="0">C8+C9+C10</f>
        <v>948815.54500000004</v>
      </c>
      <c r="D7" s="23">
        <f t="shared" ref="D7" si="1">D8+D9+D10</f>
        <v>310090.15999999997</v>
      </c>
      <c r="E7" s="23">
        <f t="shared" ref="E7" si="2">E8+E9+E10</f>
        <v>947920</v>
      </c>
      <c r="F7" s="23">
        <f t="shared" ref="F7" si="3">F8+F9+F10</f>
        <v>309836</v>
      </c>
      <c r="G7" s="23">
        <f t="shared" ref="G7" si="4">G8+G9+G10</f>
        <v>597.03</v>
      </c>
      <c r="H7" s="23">
        <f t="shared" ref="H7:N7" si="5">H8+H9+H10</f>
        <v>169.44</v>
      </c>
      <c r="I7" s="23">
        <f t="shared" si="5"/>
        <v>972506</v>
      </c>
      <c r="J7" s="23">
        <f t="shared" si="5"/>
        <v>324189</v>
      </c>
      <c r="K7" s="23">
        <f t="shared" ref="K7" si="6">K8+K9+K10</f>
        <v>972140</v>
      </c>
      <c r="L7" s="23">
        <f t="shared" si="5"/>
        <v>324063</v>
      </c>
      <c r="M7" s="23">
        <f t="shared" si="5"/>
        <v>244</v>
      </c>
      <c r="N7" s="23">
        <f t="shared" si="5"/>
        <v>84</v>
      </c>
      <c r="O7" s="23">
        <f>O8+O9+O10</f>
        <v>1002652.61375</v>
      </c>
      <c r="P7" s="23">
        <v>105095</v>
      </c>
      <c r="Q7" s="23">
        <v>69323</v>
      </c>
      <c r="R7" s="23">
        <f>R8+R9+R10</f>
        <v>35772</v>
      </c>
    </row>
    <row r="8" spans="1:19" ht="25.15" customHeight="1">
      <c r="A8" s="24">
        <v>1</v>
      </c>
      <c r="B8" s="24" t="s">
        <v>40</v>
      </c>
      <c r="C8" s="25">
        <f>E8+G8*1.5</f>
        <v>662528</v>
      </c>
      <c r="D8" s="25">
        <f>F8+H8*1.5</f>
        <v>210202</v>
      </c>
      <c r="E8" s="26">
        <v>662528</v>
      </c>
      <c r="F8" s="26">
        <v>210202</v>
      </c>
      <c r="G8" s="26"/>
      <c r="H8" s="26"/>
      <c r="I8" s="25">
        <f>K8+M8*1.5</f>
        <v>671224</v>
      </c>
      <c r="J8" s="25">
        <f>L8+N8*1.5</f>
        <v>222746</v>
      </c>
      <c r="K8" s="26">
        <v>671224</v>
      </c>
      <c r="L8" s="26">
        <v>222746</v>
      </c>
      <c r="M8" s="26"/>
      <c r="N8" s="26"/>
      <c r="O8" s="26">
        <f>C8+(I8-C8)*1.25+(J8-D8)*1.5</f>
        <v>692214</v>
      </c>
      <c r="P8" s="26">
        <f>ROUND((O8/1002653*105095),0)</f>
        <v>72556</v>
      </c>
      <c r="Q8" s="29">
        <v>45547</v>
      </c>
      <c r="R8" s="26">
        <f>ROUND((P8-Q8),0)</f>
        <v>27009</v>
      </c>
      <c r="S8" s="30"/>
    </row>
    <row r="9" spans="1:19" s="16" customFormat="1" ht="25.15" customHeight="1">
      <c r="A9" s="27">
        <v>2</v>
      </c>
      <c r="B9" s="27" t="s">
        <v>44</v>
      </c>
      <c r="C9" s="25">
        <f t="shared" ref="C9:C10" si="7">E9+G9*1.5</f>
        <v>168738.54500000001</v>
      </c>
      <c r="D9" s="25">
        <f t="shared" ref="D9:D10" si="8">F9+H9*1.5</f>
        <v>57208.160000000003</v>
      </c>
      <c r="E9" s="26">
        <v>167843</v>
      </c>
      <c r="F9" s="26">
        <v>56954</v>
      </c>
      <c r="G9" s="26">
        <v>597.03</v>
      </c>
      <c r="H9" s="26">
        <v>169.44</v>
      </c>
      <c r="I9" s="25">
        <f t="shared" ref="I9:I10" si="9">K9+M9*1.5</f>
        <v>173291</v>
      </c>
      <c r="J9" s="25">
        <f t="shared" ref="J9:J10" si="10">L9+N9*1.5</f>
        <v>56898</v>
      </c>
      <c r="K9" s="26">
        <v>172925</v>
      </c>
      <c r="L9" s="26">
        <v>56772</v>
      </c>
      <c r="M9" s="26">
        <v>244</v>
      </c>
      <c r="N9" s="26">
        <v>84</v>
      </c>
      <c r="O9" s="26">
        <f>C9+(I9-C9)*1.25</f>
        <v>174429.11374999999</v>
      </c>
      <c r="P9" s="26">
        <f>ROUND((O9/1002653*105095),0)</f>
        <v>18283</v>
      </c>
      <c r="Q9" s="29">
        <v>14422</v>
      </c>
      <c r="R9" s="26">
        <f>ROUND((P9-Q9),0)</f>
        <v>3861</v>
      </c>
      <c r="S9" s="30"/>
    </row>
    <row r="10" spans="1:19" s="17" customFormat="1" ht="25.15" customHeight="1">
      <c r="A10" s="27">
        <v>3</v>
      </c>
      <c r="B10" s="27" t="s">
        <v>48</v>
      </c>
      <c r="C10" s="25">
        <f t="shared" si="7"/>
        <v>117549</v>
      </c>
      <c r="D10" s="25">
        <f t="shared" si="8"/>
        <v>42680</v>
      </c>
      <c r="E10" s="26">
        <v>117549</v>
      </c>
      <c r="F10" s="26">
        <v>42680</v>
      </c>
      <c r="G10" s="26"/>
      <c r="H10" s="26"/>
      <c r="I10" s="25">
        <f t="shared" si="9"/>
        <v>127991</v>
      </c>
      <c r="J10" s="25">
        <f t="shared" si="10"/>
        <v>44545</v>
      </c>
      <c r="K10" s="26">
        <v>127991</v>
      </c>
      <c r="L10" s="26">
        <v>44545</v>
      </c>
      <c r="M10" s="26"/>
      <c r="N10" s="26"/>
      <c r="O10" s="26">
        <f>C10+(I10-C10)*1.5+(J10-D10)*1.5</f>
        <v>136009.5</v>
      </c>
      <c r="P10" s="26">
        <f>ROUND((O10/1002653*105095),0)</f>
        <v>14256</v>
      </c>
      <c r="Q10" s="29">
        <v>9354</v>
      </c>
      <c r="R10" s="26">
        <f>ROUND((P10-Q10),0)</f>
        <v>4902</v>
      </c>
      <c r="S10" s="30"/>
    </row>
  </sheetData>
  <mergeCells count="11">
    <mergeCell ref="A7:B7"/>
    <mergeCell ref="A4:A6"/>
    <mergeCell ref="B4:B6"/>
    <mergeCell ref="P5:P6"/>
    <mergeCell ref="Q5:Q6"/>
    <mergeCell ref="A2:R2"/>
    <mergeCell ref="C4:O4"/>
    <mergeCell ref="P4:R4"/>
    <mergeCell ref="C5:H5"/>
    <mergeCell ref="I5:O5"/>
    <mergeCell ref="R5:R6"/>
  </mergeCells>
  <phoneticPr fontId="26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GridLines="0" tabSelected="1" zoomScale="85" zoomScaleNormal="85" zoomScaleSheetLayoutView="70" workbookViewId="0">
      <selection activeCell="B10" sqref="B10:G10"/>
    </sheetView>
  </sheetViews>
  <sheetFormatPr defaultColWidth="8.875" defaultRowHeight="16.3"/>
  <cols>
    <col min="1" max="2" width="8.125" style="3" customWidth="1"/>
    <col min="3" max="3" width="21.625" style="3" customWidth="1"/>
    <col min="4" max="4" width="14.25" style="3" customWidth="1"/>
    <col min="5" max="5" width="15.625" style="3" customWidth="1"/>
    <col min="6" max="6" width="13" style="3" customWidth="1"/>
    <col min="7" max="7" width="26.25" style="4" customWidth="1"/>
    <col min="8" max="32" width="9" style="3" customWidth="1"/>
    <col min="33" max="16384" width="8.875" style="3"/>
  </cols>
  <sheetData>
    <row r="1" spans="1:7" ht="16.5" customHeight="1">
      <c r="A1" s="5" t="s">
        <v>69</v>
      </c>
      <c r="B1" s="6"/>
      <c r="C1" s="6"/>
      <c r="D1" s="6"/>
      <c r="E1" s="6"/>
      <c r="F1" s="6"/>
    </row>
    <row r="2" spans="1:7" ht="33.799999999999997" customHeight="1">
      <c r="A2" s="84" t="s">
        <v>70</v>
      </c>
      <c r="B2" s="84"/>
      <c r="C2" s="84"/>
      <c r="D2" s="84"/>
      <c r="E2" s="84"/>
      <c r="F2" s="84"/>
      <c r="G2" s="84"/>
    </row>
    <row r="3" spans="1:7" ht="27.85" customHeight="1">
      <c r="A3" s="85" t="s">
        <v>71</v>
      </c>
      <c r="B3" s="85"/>
      <c r="C3" s="85"/>
      <c r="D3" s="85"/>
      <c r="E3" s="85"/>
      <c r="F3" s="85"/>
      <c r="G3" s="85"/>
    </row>
    <row r="4" spans="1:7" s="1" customFormat="1" ht="19.55" customHeight="1">
      <c r="A4" s="7"/>
      <c r="B4" s="8"/>
      <c r="C4" s="9"/>
      <c r="D4" s="9"/>
      <c r="E4" s="9"/>
      <c r="F4" s="9"/>
      <c r="G4" s="10"/>
    </row>
    <row r="5" spans="1:7" ht="21.9" customHeight="1">
      <c r="A5" s="78" t="s">
        <v>72</v>
      </c>
      <c r="B5" s="78"/>
      <c r="C5" s="78" t="s">
        <v>73</v>
      </c>
      <c r="D5" s="78"/>
      <c r="E5" s="11" t="s">
        <v>74</v>
      </c>
      <c r="F5" s="78" t="s">
        <v>75</v>
      </c>
      <c r="G5" s="78"/>
    </row>
    <row r="6" spans="1:7" ht="21.9" customHeight="1">
      <c r="A6" s="78" t="s">
        <v>76</v>
      </c>
      <c r="B6" s="78"/>
      <c r="C6" s="78" t="s">
        <v>77</v>
      </c>
      <c r="D6" s="78"/>
      <c r="E6" s="11" t="s">
        <v>78</v>
      </c>
      <c r="F6" s="78" t="s">
        <v>79</v>
      </c>
      <c r="G6" s="78"/>
    </row>
    <row r="7" spans="1:7" ht="21.9" customHeight="1">
      <c r="A7" s="78" t="s">
        <v>80</v>
      </c>
      <c r="B7" s="78"/>
      <c r="C7" s="12" t="s">
        <v>81</v>
      </c>
      <c r="D7" s="78">
        <v>29029</v>
      </c>
      <c r="E7" s="78"/>
      <c r="F7" s="78"/>
      <c r="G7" s="78"/>
    </row>
    <row r="8" spans="1:7" ht="36" customHeight="1">
      <c r="A8" s="78"/>
      <c r="B8" s="78"/>
      <c r="C8" s="11" t="s">
        <v>82</v>
      </c>
      <c r="D8" s="78">
        <v>29029</v>
      </c>
      <c r="E8" s="78"/>
      <c r="F8" s="78"/>
      <c r="G8" s="78"/>
    </row>
    <row r="9" spans="1:7" ht="21.9" customHeight="1">
      <c r="A9" s="78"/>
      <c r="B9" s="78"/>
      <c r="C9" s="11" t="s">
        <v>83</v>
      </c>
      <c r="D9" s="78" t="s">
        <v>84</v>
      </c>
      <c r="E9" s="78"/>
      <c r="F9" s="78"/>
      <c r="G9" s="78"/>
    </row>
    <row r="10" spans="1:7" s="2" customFormat="1" ht="101.25" customHeight="1">
      <c r="A10" s="13" t="s">
        <v>85</v>
      </c>
      <c r="B10" s="79" t="s">
        <v>86</v>
      </c>
      <c r="C10" s="80"/>
      <c r="D10" s="80"/>
      <c r="E10" s="80"/>
      <c r="F10" s="80"/>
      <c r="G10" s="81"/>
    </row>
    <row r="11" spans="1:7" s="2" customFormat="1" ht="37.049999999999997" customHeight="1">
      <c r="A11" s="82" t="s">
        <v>87</v>
      </c>
      <c r="B11" s="13" t="s">
        <v>88</v>
      </c>
      <c r="C11" s="13" t="s">
        <v>89</v>
      </c>
      <c r="D11" s="82" t="s">
        <v>90</v>
      </c>
      <c r="E11" s="82"/>
      <c r="F11" s="82"/>
      <c r="G11" s="13" t="s">
        <v>91</v>
      </c>
    </row>
    <row r="12" spans="1:7" s="2" customFormat="1" ht="37.049999999999997" customHeight="1">
      <c r="A12" s="82"/>
      <c r="B12" s="82" t="s">
        <v>92</v>
      </c>
      <c r="C12" s="82" t="s">
        <v>93</v>
      </c>
      <c r="D12" s="83" t="s">
        <v>94</v>
      </c>
      <c r="E12" s="83"/>
      <c r="F12" s="83"/>
      <c r="G12" s="13" t="s">
        <v>95</v>
      </c>
    </row>
    <row r="13" spans="1:7" s="2" customFormat="1" ht="37.049999999999997" customHeight="1">
      <c r="A13" s="82"/>
      <c r="B13" s="82"/>
      <c r="C13" s="82"/>
      <c r="D13" s="83" t="s">
        <v>96</v>
      </c>
      <c r="E13" s="83"/>
      <c r="F13" s="83"/>
      <c r="G13" s="13" t="s">
        <v>97</v>
      </c>
    </row>
    <row r="14" spans="1:7" s="2" customFormat="1" ht="37.049999999999997" customHeight="1">
      <c r="A14" s="82"/>
      <c r="B14" s="82"/>
      <c r="C14" s="13" t="s">
        <v>98</v>
      </c>
      <c r="D14" s="83" t="s">
        <v>99</v>
      </c>
      <c r="E14" s="83"/>
      <c r="F14" s="83"/>
      <c r="G14" s="14" t="s">
        <v>100</v>
      </c>
    </row>
    <row r="15" spans="1:7" s="2" customFormat="1" ht="37.049999999999997" customHeight="1">
      <c r="A15" s="82"/>
      <c r="B15" s="82"/>
      <c r="C15" s="13" t="s">
        <v>101</v>
      </c>
      <c r="D15" s="83" t="s">
        <v>102</v>
      </c>
      <c r="E15" s="83"/>
      <c r="F15" s="83"/>
      <c r="G15" s="14" t="s">
        <v>103</v>
      </c>
    </row>
    <row r="16" spans="1:7" s="2" customFormat="1" ht="37.049999999999997" customHeight="1">
      <c r="A16" s="82"/>
      <c r="B16" s="82"/>
      <c r="C16" s="13" t="s">
        <v>104</v>
      </c>
      <c r="D16" s="83" t="s">
        <v>105</v>
      </c>
      <c r="E16" s="83"/>
      <c r="F16" s="83"/>
      <c r="G16" s="14" t="s">
        <v>100</v>
      </c>
    </row>
    <row r="17" spans="1:7" s="2" customFormat="1" ht="37.049999999999997" customHeight="1">
      <c r="A17" s="82"/>
      <c r="B17" s="82" t="s">
        <v>106</v>
      </c>
      <c r="C17" s="13" t="s">
        <v>107</v>
      </c>
      <c r="D17" s="83" t="s">
        <v>108</v>
      </c>
      <c r="E17" s="83"/>
      <c r="F17" s="83"/>
      <c r="G17" s="13" t="s">
        <v>100</v>
      </c>
    </row>
    <row r="18" spans="1:7" s="2" customFormat="1" ht="37.049999999999997" customHeight="1">
      <c r="A18" s="82"/>
      <c r="B18" s="82"/>
      <c r="C18" s="13" t="s">
        <v>109</v>
      </c>
      <c r="D18" s="83" t="s">
        <v>110</v>
      </c>
      <c r="E18" s="83"/>
      <c r="F18" s="83"/>
      <c r="G18" s="13" t="s">
        <v>111</v>
      </c>
    </row>
    <row r="19" spans="1:7" s="2" customFormat="1" ht="37.049999999999997" customHeight="1">
      <c r="A19" s="82"/>
      <c r="B19" s="82"/>
      <c r="C19" s="13" t="s">
        <v>112</v>
      </c>
      <c r="D19" s="83" t="s">
        <v>113</v>
      </c>
      <c r="E19" s="83"/>
      <c r="F19" s="83"/>
      <c r="G19" s="13" t="s">
        <v>100</v>
      </c>
    </row>
    <row r="20" spans="1:7" s="2" customFormat="1" ht="37.049999999999997" customHeight="1">
      <c r="A20" s="82"/>
      <c r="B20" s="13" t="s">
        <v>114</v>
      </c>
      <c r="C20" s="13" t="s">
        <v>115</v>
      </c>
      <c r="D20" s="83" t="s">
        <v>116</v>
      </c>
      <c r="E20" s="83"/>
      <c r="F20" s="83"/>
      <c r="G20" s="14" t="s">
        <v>117</v>
      </c>
    </row>
  </sheetData>
  <mergeCells count="27">
    <mergeCell ref="D19:F19"/>
    <mergeCell ref="D20:F20"/>
    <mergeCell ref="A11:A20"/>
    <mergeCell ref="B12:B16"/>
    <mergeCell ref="B17:B19"/>
    <mergeCell ref="C12:C13"/>
    <mergeCell ref="D14:F14"/>
    <mergeCell ref="D15:F15"/>
    <mergeCell ref="D16:F16"/>
    <mergeCell ref="D17:F17"/>
    <mergeCell ref="D18:F18"/>
    <mergeCell ref="D9:G9"/>
    <mergeCell ref="B10:G10"/>
    <mergeCell ref="D11:F11"/>
    <mergeCell ref="D12:F12"/>
    <mergeCell ref="D13:F13"/>
    <mergeCell ref="A7:B9"/>
    <mergeCell ref="A6:B6"/>
    <mergeCell ref="C6:D6"/>
    <mergeCell ref="F6:G6"/>
    <mergeCell ref="D7:G7"/>
    <mergeCell ref="D8:G8"/>
    <mergeCell ref="A2:G2"/>
    <mergeCell ref="A3:G3"/>
    <mergeCell ref="A5:B5"/>
    <mergeCell ref="C5:D5"/>
    <mergeCell ref="F5:G5"/>
  </mergeCells>
  <phoneticPr fontId="26" type="noConversion"/>
  <printOptions horizontalCentered="1"/>
  <pageMargins left="0.47244094488188998" right="0.47244094488188998" top="0.59055118110236204" bottom="0.59055118110236204" header="0.27559055118110198" footer="0.196850393700787"/>
  <pageSetup paperSize="9" scale="89" orientation="portrait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陈勇:编号排版</cp:lastModifiedBy>
  <dcterms:created xsi:type="dcterms:W3CDTF">2015-06-05T18:19:00Z</dcterms:created>
  <dcterms:modified xsi:type="dcterms:W3CDTF">2025-06-25T07:52:08Z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571D87D37AEA4548A9B09548AF3DCFCE_12</vt:lpwstr>
  </property>
  <property fmtid="{D5CDD505-2E9C-101B-9397-08002B2CF9AE}" pid="3" name="KSOProductBuildVer">
    <vt:lpwstr>2052-12.1.0.21541</vt:lpwstr>
  </property>
</Properties>
</file>